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E:\PC_Syntron02\Documents\Sport\Schiessen\2024KSFGR\"/>
    </mc:Choice>
  </mc:AlternateContent>
  <xr:revisionPtr revIDLastSave="0" documentId="13_ncr:1_{5BCE2655-34ED-48E6-AE8A-8E8F9D17178B}" xr6:coauthVersionLast="47" xr6:coauthVersionMax="47" xr10:uidLastSave="{00000000-0000-0000-0000-000000000000}"/>
  <workbookProtection workbookAlgorithmName="SHA-512" workbookHashValue="h9Rt3qxrxz1G7HfscZzzgCWkZKAmieKHcIF/l13qLq6NRUbrdRJnC8A2js/MoA2+/Oq459528nT0jskqiWGw2w==" workbookSaltValue="+1hHArdYOswAnoUYEwU4Qg==" workbookSpinCount="100000" lockStructure="1"/>
  <bookViews>
    <workbookView xWindow="-120" yWindow="-120" windowWidth="29040" windowHeight="15990" tabRatio="727" firstSheet="1" activeTab="1" xr2:uid="{00000000-000D-0000-FFFF-FFFF00000000}"/>
  </bookViews>
  <sheets>
    <sheet name="Daten" sheetId="1" state="hidden" r:id="rId1"/>
    <sheet name="Anmeldeformular" sheetId="51" r:id="rId2"/>
    <sheet name="Auswahl" sheetId="11" state="hidden" r:id="rId3"/>
  </sheets>
  <definedNames>
    <definedName name="_xlnm._FilterDatabase" localSheetId="0" hidden="1">Daten!$B$3:$BK$73</definedName>
    <definedName name="Adressen">Daten!$B$3:$Y$73</definedName>
    <definedName name="_xlnm.Print_Area" localSheetId="0">Daten!$A$1:$BK$82</definedName>
    <definedName name="_xlnm.Print_Titles" localSheetId="2">Auswahl!$1:$1</definedName>
    <definedName name="_xlnm.Print_Titles" localSheetId="0">Daten!$B:$C,Daten!$4:$4</definedName>
    <definedName name="Gruppenwettkampf">Auswahl!$C$2:$C$7</definedName>
    <definedName name="Unterkunft">Auswahl!$B$2:$B$12</definedName>
    <definedName name="Waffe">Auswahl!$A$2:$A$6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67" i="1" l="1"/>
  <c r="BH68" i="1"/>
  <c r="BH69" i="1"/>
  <c r="BH70" i="1"/>
  <c r="BH71" i="1"/>
  <c r="BH72" i="1"/>
  <c r="W76" i="1" l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75" i="1"/>
  <c r="X75" i="1"/>
  <c r="BK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I22" i="1"/>
  <c r="J22" i="1" s="1"/>
  <c r="D22" i="1"/>
  <c r="E22" i="1" s="1"/>
  <c r="BI22" i="1" l="1"/>
  <c r="BH22" i="1"/>
  <c r="BJ22" i="1" s="1"/>
  <c r="G5" i="51" l="1"/>
  <c r="L9" i="51"/>
  <c r="G9" i="51"/>
  <c r="L7" i="51"/>
  <c r="G7" i="51"/>
  <c r="B7" i="51"/>
  <c r="L5" i="51"/>
  <c r="BK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I71" i="1"/>
  <c r="J71" i="1" s="1"/>
  <c r="D71" i="1"/>
  <c r="E71" i="1" s="1"/>
  <c r="BK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I47" i="1"/>
  <c r="J47" i="1" s="1"/>
  <c r="D47" i="1"/>
  <c r="E47" i="1" s="1"/>
  <c r="BK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I45" i="1"/>
  <c r="J45" i="1" s="1"/>
  <c r="D45" i="1"/>
  <c r="E45" i="1" s="1"/>
  <c r="BK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I42" i="1"/>
  <c r="J42" i="1" s="1"/>
  <c r="D42" i="1"/>
  <c r="E42" i="1" s="1"/>
  <c r="BK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I33" i="1"/>
  <c r="J33" i="1" s="1"/>
  <c r="D33" i="1"/>
  <c r="E33" i="1" s="1"/>
  <c r="BK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I6" i="1"/>
  <c r="J6" i="1" s="1"/>
  <c r="D6" i="1"/>
  <c r="AU52" i="1"/>
  <c r="AU53" i="1"/>
  <c r="AU54" i="1"/>
  <c r="AU55" i="1"/>
  <c r="AU56" i="1"/>
  <c r="AU10" i="1"/>
  <c r="AU11" i="1"/>
  <c r="AU12" i="1"/>
  <c r="AU13" i="1"/>
  <c r="Q76" i="1"/>
  <c r="Q75" i="1"/>
  <c r="BK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I69" i="1"/>
  <c r="J69" i="1" s="1"/>
  <c r="D69" i="1"/>
  <c r="E69" i="1" s="1"/>
  <c r="BK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I51" i="1"/>
  <c r="J51" i="1" s="1"/>
  <c r="D51" i="1"/>
  <c r="E51" i="1" s="1"/>
  <c r="BK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I46" i="1"/>
  <c r="J46" i="1" s="1"/>
  <c r="D46" i="1"/>
  <c r="E46" i="1" s="1"/>
  <c r="BK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I41" i="1"/>
  <c r="J41" i="1" s="1"/>
  <c r="D41" i="1"/>
  <c r="E41" i="1" s="1"/>
  <c r="BK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I21" i="1"/>
  <c r="J21" i="1" s="1"/>
  <c r="D21" i="1"/>
  <c r="E21" i="1" s="1"/>
  <c r="BK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I7" i="1"/>
  <c r="J7" i="1" s="1"/>
  <c r="D7" i="1"/>
  <c r="BK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I25" i="1"/>
  <c r="J25" i="1" s="1"/>
  <c r="D25" i="1"/>
  <c r="E25" i="1" s="1"/>
  <c r="BK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I26" i="1"/>
  <c r="J26" i="1" s="1"/>
  <c r="D26" i="1"/>
  <c r="E26" i="1" s="1"/>
  <c r="BK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I23" i="1"/>
  <c r="J23" i="1" s="1"/>
  <c r="D23" i="1"/>
  <c r="E23" i="1" s="1"/>
  <c r="D30" i="51"/>
  <c r="D32" i="51" s="1"/>
  <c r="B9" i="51"/>
  <c r="B5" i="51"/>
  <c r="BK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I72" i="1"/>
  <c r="J72" i="1" s="1"/>
  <c r="D72" i="1"/>
  <c r="E72" i="1" s="1"/>
  <c r="AZ82" i="1"/>
  <c r="AZ81" i="1"/>
  <c r="AZ80" i="1"/>
  <c r="AZ79" i="1"/>
  <c r="AZ78" i="1"/>
  <c r="AZ77" i="1"/>
  <c r="AZ76" i="1"/>
  <c r="AZ73" i="1"/>
  <c r="AZ70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0" i="1"/>
  <c r="AZ49" i="1"/>
  <c r="AZ48" i="1"/>
  <c r="AZ44" i="1"/>
  <c r="AZ43" i="1"/>
  <c r="AZ9" i="1"/>
  <c r="AZ40" i="1"/>
  <c r="AZ39" i="1"/>
  <c r="AZ38" i="1"/>
  <c r="AZ37" i="1"/>
  <c r="AZ36" i="1"/>
  <c r="AZ35" i="1"/>
  <c r="AZ34" i="1"/>
  <c r="AZ32" i="1"/>
  <c r="AZ31" i="1"/>
  <c r="AZ30" i="1"/>
  <c r="AZ29" i="1"/>
  <c r="AZ28" i="1"/>
  <c r="AZ27" i="1"/>
  <c r="AZ24" i="1"/>
  <c r="AZ20" i="1"/>
  <c r="AZ19" i="1"/>
  <c r="AZ18" i="1"/>
  <c r="AZ17" i="1"/>
  <c r="AZ16" i="1"/>
  <c r="AZ15" i="1"/>
  <c r="AZ14" i="1"/>
  <c r="AZ13" i="1"/>
  <c r="AZ12" i="1"/>
  <c r="AZ11" i="1"/>
  <c r="AZ10" i="1"/>
  <c r="AZ8" i="1"/>
  <c r="AV82" i="1"/>
  <c r="AV81" i="1"/>
  <c r="AV80" i="1"/>
  <c r="AV79" i="1"/>
  <c r="AV78" i="1"/>
  <c r="AV77" i="1"/>
  <c r="AV76" i="1"/>
  <c r="AV73" i="1"/>
  <c r="AV70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0" i="1"/>
  <c r="AV49" i="1"/>
  <c r="AV48" i="1"/>
  <c r="AV44" i="1"/>
  <c r="AV43" i="1"/>
  <c r="AV9" i="1"/>
  <c r="AV40" i="1"/>
  <c r="AV39" i="1"/>
  <c r="AV38" i="1"/>
  <c r="AV37" i="1"/>
  <c r="AV36" i="1"/>
  <c r="AV35" i="1"/>
  <c r="AV34" i="1"/>
  <c r="AV32" i="1"/>
  <c r="AV31" i="1"/>
  <c r="AV30" i="1"/>
  <c r="AV29" i="1"/>
  <c r="AV28" i="1"/>
  <c r="AV27" i="1"/>
  <c r="AV24" i="1"/>
  <c r="AV20" i="1"/>
  <c r="AV19" i="1"/>
  <c r="AV18" i="1"/>
  <c r="AV17" i="1"/>
  <c r="AV16" i="1"/>
  <c r="AV15" i="1"/>
  <c r="AV14" i="1"/>
  <c r="AV13" i="1"/>
  <c r="AV12" i="1"/>
  <c r="AV11" i="1"/>
  <c r="AV10" i="1"/>
  <c r="AV8" i="1"/>
  <c r="AI75" i="1"/>
  <c r="AZ75" i="1" s="1"/>
  <c r="AE75" i="1"/>
  <c r="AV75" i="1" s="1"/>
  <c r="BK20" i="1"/>
  <c r="BG20" i="1"/>
  <c r="BF20" i="1"/>
  <c r="BE20" i="1"/>
  <c r="BD20" i="1"/>
  <c r="BC20" i="1"/>
  <c r="BB20" i="1"/>
  <c r="BA20" i="1"/>
  <c r="AY20" i="1"/>
  <c r="AX20" i="1"/>
  <c r="AW20" i="1"/>
  <c r="AU20" i="1"/>
  <c r="AT20" i="1"/>
  <c r="AS20" i="1"/>
  <c r="AR20" i="1"/>
  <c r="I20" i="1"/>
  <c r="J20" i="1" s="1"/>
  <c r="D20" i="1"/>
  <c r="E20" i="1" s="1"/>
  <c r="BK48" i="1"/>
  <c r="BG48" i="1"/>
  <c r="BF48" i="1"/>
  <c r="BE48" i="1"/>
  <c r="BD48" i="1"/>
  <c r="BC48" i="1"/>
  <c r="BB48" i="1"/>
  <c r="BA48" i="1"/>
  <c r="AY48" i="1"/>
  <c r="AX48" i="1"/>
  <c r="AW48" i="1"/>
  <c r="AU48" i="1"/>
  <c r="AT48" i="1"/>
  <c r="AS48" i="1"/>
  <c r="AR48" i="1"/>
  <c r="I48" i="1"/>
  <c r="J48" i="1" s="1"/>
  <c r="D48" i="1"/>
  <c r="E48" i="1" s="1"/>
  <c r="D8" i="1"/>
  <c r="E8" i="1" s="1"/>
  <c r="I8" i="1"/>
  <c r="J8" i="1" s="1"/>
  <c r="AR8" i="1"/>
  <c r="AS8" i="1"/>
  <c r="AT8" i="1"/>
  <c r="AU8" i="1"/>
  <c r="AW8" i="1"/>
  <c r="AX8" i="1"/>
  <c r="AY8" i="1"/>
  <c r="BA8" i="1"/>
  <c r="BB8" i="1"/>
  <c r="BC8" i="1"/>
  <c r="BD8" i="1"/>
  <c r="BE8" i="1"/>
  <c r="BF8" i="1"/>
  <c r="BG8" i="1"/>
  <c r="BK8" i="1"/>
  <c r="D10" i="1"/>
  <c r="I10" i="1"/>
  <c r="J10" i="1" s="1"/>
  <c r="AR10" i="1"/>
  <c r="AS10" i="1"/>
  <c r="AT10" i="1"/>
  <c r="AW10" i="1"/>
  <c r="AX10" i="1"/>
  <c r="AY10" i="1"/>
  <c r="BA10" i="1"/>
  <c r="BB10" i="1"/>
  <c r="BC10" i="1"/>
  <c r="BD10" i="1"/>
  <c r="BE10" i="1"/>
  <c r="BF10" i="1"/>
  <c r="BG10" i="1"/>
  <c r="BK10" i="1"/>
  <c r="D11" i="1"/>
  <c r="E11" i="1" s="1"/>
  <c r="I11" i="1"/>
  <c r="J11" i="1" s="1"/>
  <c r="AR11" i="1"/>
  <c r="AS11" i="1"/>
  <c r="AT11" i="1"/>
  <c r="AW11" i="1"/>
  <c r="AX11" i="1"/>
  <c r="AY11" i="1"/>
  <c r="BA11" i="1"/>
  <c r="BB11" i="1"/>
  <c r="BC11" i="1"/>
  <c r="BD11" i="1"/>
  <c r="BE11" i="1"/>
  <c r="BF11" i="1"/>
  <c r="BG11" i="1"/>
  <c r="BK11" i="1"/>
  <c r="D12" i="1"/>
  <c r="I12" i="1"/>
  <c r="J12" i="1" s="1"/>
  <c r="AR12" i="1"/>
  <c r="AS12" i="1"/>
  <c r="AT12" i="1"/>
  <c r="AW12" i="1"/>
  <c r="AX12" i="1"/>
  <c r="AY12" i="1"/>
  <c r="BA12" i="1"/>
  <c r="BB12" i="1"/>
  <c r="BC12" i="1"/>
  <c r="BD12" i="1"/>
  <c r="BE12" i="1"/>
  <c r="BF12" i="1"/>
  <c r="BG12" i="1"/>
  <c r="BK12" i="1"/>
  <c r="D13" i="1"/>
  <c r="E13" i="1" s="1"/>
  <c r="I13" i="1"/>
  <c r="J13" i="1" s="1"/>
  <c r="AR13" i="1"/>
  <c r="AS13" i="1"/>
  <c r="AT13" i="1"/>
  <c r="AW13" i="1"/>
  <c r="AX13" i="1"/>
  <c r="AY13" i="1"/>
  <c r="BA13" i="1"/>
  <c r="BB13" i="1"/>
  <c r="BC13" i="1"/>
  <c r="BD13" i="1"/>
  <c r="BE13" i="1"/>
  <c r="BF13" i="1"/>
  <c r="BG13" i="1"/>
  <c r="BK13" i="1"/>
  <c r="D14" i="1"/>
  <c r="E14" i="1" s="1"/>
  <c r="I14" i="1"/>
  <c r="J14" i="1" s="1"/>
  <c r="AR14" i="1"/>
  <c r="AS14" i="1"/>
  <c r="AT14" i="1"/>
  <c r="AU14" i="1"/>
  <c r="AW14" i="1"/>
  <c r="AX14" i="1"/>
  <c r="AY14" i="1"/>
  <c r="BA14" i="1"/>
  <c r="BB14" i="1"/>
  <c r="BC14" i="1"/>
  <c r="BD14" i="1"/>
  <c r="BE14" i="1"/>
  <c r="BF14" i="1"/>
  <c r="BG14" i="1"/>
  <c r="BK14" i="1"/>
  <c r="D15" i="1"/>
  <c r="E15" i="1" s="1"/>
  <c r="I15" i="1"/>
  <c r="J15" i="1" s="1"/>
  <c r="AR15" i="1"/>
  <c r="AS15" i="1"/>
  <c r="AT15" i="1"/>
  <c r="AU15" i="1"/>
  <c r="AW15" i="1"/>
  <c r="AX15" i="1"/>
  <c r="AY15" i="1"/>
  <c r="BA15" i="1"/>
  <c r="BB15" i="1"/>
  <c r="BC15" i="1"/>
  <c r="BD15" i="1"/>
  <c r="BE15" i="1"/>
  <c r="BF15" i="1"/>
  <c r="BG15" i="1"/>
  <c r="BK15" i="1"/>
  <c r="D16" i="1"/>
  <c r="E16" i="1" s="1"/>
  <c r="I16" i="1"/>
  <c r="J16" i="1" s="1"/>
  <c r="AR16" i="1"/>
  <c r="AS16" i="1"/>
  <c r="AT16" i="1"/>
  <c r="AU16" i="1"/>
  <c r="AW16" i="1"/>
  <c r="AX16" i="1"/>
  <c r="AY16" i="1"/>
  <c r="BA16" i="1"/>
  <c r="BB16" i="1"/>
  <c r="BC16" i="1"/>
  <c r="BD16" i="1"/>
  <c r="BE16" i="1"/>
  <c r="BF16" i="1"/>
  <c r="BG16" i="1"/>
  <c r="BK16" i="1"/>
  <c r="D17" i="1"/>
  <c r="E17" i="1" s="1"/>
  <c r="I17" i="1"/>
  <c r="J17" i="1" s="1"/>
  <c r="AR17" i="1"/>
  <c r="AS17" i="1"/>
  <c r="AT17" i="1"/>
  <c r="AU17" i="1"/>
  <c r="AW17" i="1"/>
  <c r="AX17" i="1"/>
  <c r="AY17" i="1"/>
  <c r="BA17" i="1"/>
  <c r="BB17" i="1"/>
  <c r="BC17" i="1"/>
  <c r="BD17" i="1"/>
  <c r="BE17" i="1"/>
  <c r="BF17" i="1"/>
  <c r="BG17" i="1"/>
  <c r="BK17" i="1"/>
  <c r="D18" i="1"/>
  <c r="E18" i="1" s="1"/>
  <c r="I18" i="1"/>
  <c r="J18" i="1" s="1"/>
  <c r="AR18" i="1"/>
  <c r="AS18" i="1"/>
  <c r="AT18" i="1"/>
  <c r="AU18" i="1"/>
  <c r="AW18" i="1"/>
  <c r="AX18" i="1"/>
  <c r="AY18" i="1"/>
  <c r="BA18" i="1"/>
  <c r="BB18" i="1"/>
  <c r="BC18" i="1"/>
  <c r="BD18" i="1"/>
  <c r="BE18" i="1"/>
  <c r="BF18" i="1"/>
  <c r="BG18" i="1"/>
  <c r="BK18" i="1"/>
  <c r="D19" i="1"/>
  <c r="E19" i="1" s="1"/>
  <c r="I19" i="1"/>
  <c r="J19" i="1" s="1"/>
  <c r="AR19" i="1"/>
  <c r="AS19" i="1"/>
  <c r="AT19" i="1"/>
  <c r="AU19" i="1"/>
  <c r="AW19" i="1"/>
  <c r="AX19" i="1"/>
  <c r="AY19" i="1"/>
  <c r="BA19" i="1"/>
  <c r="BB19" i="1"/>
  <c r="BC19" i="1"/>
  <c r="BD19" i="1"/>
  <c r="BE19" i="1"/>
  <c r="BF19" i="1"/>
  <c r="BG19" i="1"/>
  <c r="BK19" i="1"/>
  <c r="D24" i="1"/>
  <c r="E24" i="1" s="1"/>
  <c r="I24" i="1"/>
  <c r="J24" i="1" s="1"/>
  <c r="AR24" i="1"/>
  <c r="AS24" i="1"/>
  <c r="AT24" i="1"/>
  <c r="AU24" i="1"/>
  <c r="AW24" i="1"/>
  <c r="AX24" i="1"/>
  <c r="AY24" i="1"/>
  <c r="BA24" i="1"/>
  <c r="BB24" i="1"/>
  <c r="BC24" i="1"/>
  <c r="BD24" i="1"/>
  <c r="BE24" i="1"/>
  <c r="BF24" i="1"/>
  <c r="BG24" i="1"/>
  <c r="BK24" i="1"/>
  <c r="D27" i="1"/>
  <c r="E27" i="1" s="1"/>
  <c r="I27" i="1"/>
  <c r="J27" i="1" s="1"/>
  <c r="AR27" i="1"/>
  <c r="AS27" i="1"/>
  <c r="AT27" i="1"/>
  <c r="AU27" i="1"/>
  <c r="AW27" i="1"/>
  <c r="AX27" i="1"/>
  <c r="AY27" i="1"/>
  <c r="BA27" i="1"/>
  <c r="BB27" i="1"/>
  <c r="BC27" i="1"/>
  <c r="BD27" i="1"/>
  <c r="BE27" i="1"/>
  <c r="BF27" i="1"/>
  <c r="BG27" i="1"/>
  <c r="BK27" i="1"/>
  <c r="D28" i="1"/>
  <c r="E28" i="1" s="1"/>
  <c r="I28" i="1"/>
  <c r="J28" i="1" s="1"/>
  <c r="AR28" i="1"/>
  <c r="AS28" i="1"/>
  <c r="AT28" i="1"/>
  <c r="AU28" i="1"/>
  <c r="AW28" i="1"/>
  <c r="AX28" i="1"/>
  <c r="AY28" i="1"/>
  <c r="BA28" i="1"/>
  <c r="BB28" i="1"/>
  <c r="BC28" i="1"/>
  <c r="BD28" i="1"/>
  <c r="BE28" i="1"/>
  <c r="BF28" i="1"/>
  <c r="BG28" i="1"/>
  <c r="BK28" i="1"/>
  <c r="D29" i="1"/>
  <c r="E29" i="1" s="1"/>
  <c r="I29" i="1"/>
  <c r="J29" i="1" s="1"/>
  <c r="AR29" i="1"/>
  <c r="AS29" i="1"/>
  <c r="AT29" i="1"/>
  <c r="AU29" i="1"/>
  <c r="AW29" i="1"/>
  <c r="AX29" i="1"/>
  <c r="AY29" i="1"/>
  <c r="BA29" i="1"/>
  <c r="BB29" i="1"/>
  <c r="BC29" i="1"/>
  <c r="BD29" i="1"/>
  <c r="BE29" i="1"/>
  <c r="BF29" i="1"/>
  <c r="BG29" i="1"/>
  <c r="BK29" i="1"/>
  <c r="D30" i="1"/>
  <c r="E30" i="1" s="1"/>
  <c r="I30" i="1"/>
  <c r="J30" i="1" s="1"/>
  <c r="AR30" i="1"/>
  <c r="AS30" i="1"/>
  <c r="AT30" i="1"/>
  <c r="AU30" i="1"/>
  <c r="AW30" i="1"/>
  <c r="AX30" i="1"/>
  <c r="AY30" i="1"/>
  <c r="BA30" i="1"/>
  <c r="BB30" i="1"/>
  <c r="BC30" i="1"/>
  <c r="BD30" i="1"/>
  <c r="BE30" i="1"/>
  <c r="BF30" i="1"/>
  <c r="BG30" i="1"/>
  <c r="BK30" i="1"/>
  <c r="D31" i="1"/>
  <c r="E31" i="1" s="1"/>
  <c r="I31" i="1"/>
  <c r="J31" i="1" s="1"/>
  <c r="AR31" i="1"/>
  <c r="AS31" i="1"/>
  <c r="AT31" i="1"/>
  <c r="AU31" i="1"/>
  <c r="AW31" i="1"/>
  <c r="AX31" i="1"/>
  <c r="AY31" i="1"/>
  <c r="BA31" i="1"/>
  <c r="BB31" i="1"/>
  <c r="BC31" i="1"/>
  <c r="BD31" i="1"/>
  <c r="BE31" i="1"/>
  <c r="BF31" i="1"/>
  <c r="BG31" i="1"/>
  <c r="BK31" i="1"/>
  <c r="D32" i="1"/>
  <c r="E32" i="1" s="1"/>
  <c r="I32" i="1"/>
  <c r="J32" i="1" s="1"/>
  <c r="AR32" i="1"/>
  <c r="AS32" i="1"/>
  <c r="AT32" i="1"/>
  <c r="AU32" i="1"/>
  <c r="AW32" i="1"/>
  <c r="AX32" i="1"/>
  <c r="AY32" i="1"/>
  <c r="BA32" i="1"/>
  <c r="BB32" i="1"/>
  <c r="BC32" i="1"/>
  <c r="BD32" i="1"/>
  <c r="BE32" i="1"/>
  <c r="BF32" i="1"/>
  <c r="BG32" i="1"/>
  <c r="BK32" i="1"/>
  <c r="D34" i="1"/>
  <c r="E34" i="1" s="1"/>
  <c r="I34" i="1"/>
  <c r="J34" i="1" s="1"/>
  <c r="AR34" i="1"/>
  <c r="AS34" i="1"/>
  <c r="AT34" i="1"/>
  <c r="AU34" i="1"/>
  <c r="AW34" i="1"/>
  <c r="AX34" i="1"/>
  <c r="AY34" i="1"/>
  <c r="BA34" i="1"/>
  <c r="BB34" i="1"/>
  <c r="BC34" i="1"/>
  <c r="BD34" i="1"/>
  <c r="BE34" i="1"/>
  <c r="BF34" i="1"/>
  <c r="BG34" i="1"/>
  <c r="BK34" i="1"/>
  <c r="D35" i="1"/>
  <c r="E35" i="1" s="1"/>
  <c r="I35" i="1"/>
  <c r="J35" i="1" s="1"/>
  <c r="AR35" i="1"/>
  <c r="AS35" i="1"/>
  <c r="AT35" i="1"/>
  <c r="AU35" i="1"/>
  <c r="AW35" i="1"/>
  <c r="AX35" i="1"/>
  <c r="AY35" i="1"/>
  <c r="BA35" i="1"/>
  <c r="BB35" i="1"/>
  <c r="BC35" i="1"/>
  <c r="BD35" i="1"/>
  <c r="BE35" i="1"/>
  <c r="BF35" i="1"/>
  <c r="BG35" i="1"/>
  <c r="BK35" i="1"/>
  <c r="D36" i="1"/>
  <c r="E36" i="1" s="1"/>
  <c r="I36" i="1"/>
  <c r="J36" i="1" s="1"/>
  <c r="AR36" i="1"/>
  <c r="AS36" i="1"/>
  <c r="AT36" i="1"/>
  <c r="AU36" i="1"/>
  <c r="AW36" i="1"/>
  <c r="AX36" i="1"/>
  <c r="AY36" i="1"/>
  <c r="BA36" i="1"/>
  <c r="BB36" i="1"/>
  <c r="BC36" i="1"/>
  <c r="BD36" i="1"/>
  <c r="BE36" i="1"/>
  <c r="BF36" i="1"/>
  <c r="BG36" i="1"/>
  <c r="BK36" i="1"/>
  <c r="D37" i="1"/>
  <c r="E37" i="1" s="1"/>
  <c r="I37" i="1"/>
  <c r="J37" i="1" s="1"/>
  <c r="AR37" i="1"/>
  <c r="AS37" i="1"/>
  <c r="AT37" i="1"/>
  <c r="AU37" i="1"/>
  <c r="AW37" i="1"/>
  <c r="AX37" i="1"/>
  <c r="AY37" i="1"/>
  <c r="BA37" i="1"/>
  <c r="BB37" i="1"/>
  <c r="BC37" i="1"/>
  <c r="BD37" i="1"/>
  <c r="BE37" i="1"/>
  <c r="BF37" i="1"/>
  <c r="BG37" i="1"/>
  <c r="BK37" i="1"/>
  <c r="D38" i="1"/>
  <c r="E38" i="1" s="1"/>
  <c r="I38" i="1"/>
  <c r="J38" i="1" s="1"/>
  <c r="AR38" i="1"/>
  <c r="AS38" i="1"/>
  <c r="AT38" i="1"/>
  <c r="AU38" i="1"/>
  <c r="AW38" i="1"/>
  <c r="AX38" i="1"/>
  <c r="AY38" i="1"/>
  <c r="BA38" i="1"/>
  <c r="BB38" i="1"/>
  <c r="BC38" i="1"/>
  <c r="BD38" i="1"/>
  <c r="BE38" i="1"/>
  <c r="BF38" i="1"/>
  <c r="BG38" i="1"/>
  <c r="BK38" i="1"/>
  <c r="D39" i="1"/>
  <c r="E39" i="1" s="1"/>
  <c r="I39" i="1"/>
  <c r="J39" i="1" s="1"/>
  <c r="AR39" i="1"/>
  <c r="AS39" i="1"/>
  <c r="AT39" i="1"/>
  <c r="AU39" i="1"/>
  <c r="AW39" i="1"/>
  <c r="AX39" i="1"/>
  <c r="AY39" i="1"/>
  <c r="BA39" i="1"/>
  <c r="BB39" i="1"/>
  <c r="BC39" i="1"/>
  <c r="BD39" i="1"/>
  <c r="BE39" i="1"/>
  <c r="BF39" i="1"/>
  <c r="BG39" i="1"/>
  <c r="BK39" i="1"/>
  <c r="D40" i="1"/>
  <c r="E40" i="1" s="1"/>
  <c r="I40" i="1"/>
  <c r="J40" i="1" s="1"/>
  <c r="AR40" i="1"/>
  <c r="AS40" i="1"/>
  <c r="AT40" i="1"/>
  <c r="AU40" i="1"/>
  <c r="AW40" i="1"/>
  <c r="AX40" i="1"/>
  <c r="AY40" i="1"/>
  <c r="BA40" i="1"/>
  <c r="BB40" i="1"/>
  <c r="BC40" i="1"/>
  <c r="BD40" i="1"/>
  <c r="BE40" i="1"/>
  <c r="BF40" i="1"/>
  <c r="BG40" i="1"/>
  <c r="BK40" i="1"/>
  <c r="D9" i="1"/>
  <c r="E9" i="1" s="1"/>
  <c r="I9" i="1"/>
  <c r="J9" i="1" s="1"/>
  <c r="AR9" i="1"/>
  <c r="AS9" i="1"/>
  <c r="AT9" i="1"/>
  <c r="AU9" i="1"/>
  <c r="AW9" i="1"/>
  <c r="AX9" i="1"/>
  <c r="AY9" i="1"/>
  <c r="BA9" i="1"/>
  <c r="BB9" i="1"/>
  <c r="BC9" i="1"/>
  <c r="BD9" i="1"/>
  <c r="BE9" i="1"/>
  <c r="BF9" i="1"/>
  <c r="BG9" i="1"/>
  <c r="BK9" i="1"/>
  <c r="D43" i="1"/>
  <c r="E43" i="1" s="1"/>
  <c r="I43" i="1"/>
  <c r="J43" i="1" s="1"/>
  <c r="AR43" i="1"/>
  <c r="AS43" i="1"/>
  <c r="AT43" i="1"/>
  <c r="AU43" i="1"/>
  <c r="AW43" i="1"/>
  <c r="AX43" i="1"/>
  <c r="AY43" i="1"/>
  <c r="BA43" i="1"/>
  <c r="BB43" i="1"/>
  <c r="BC43" i="1"/>
  <c r="BD43" i="1"/>
  <c r="BE43" i="1"/>
  <c r="BF43" i="1"/>
  <c r="BG43" i="1"/>
  <c r="BK43" i="1"/>
  <c r="D44" i="1"/>
  <c r="E44" i="1" s="1"/>
  <c r="I44" i="1"/>
  <c r="J44" i="1" s="1"/>
  <c r="AR44" i="1"/>
  <c r="AS44" i="1"/>
  <c r="AT44" i="1"/>
  <c r="AU44" i="1"/>
  <c r="AW44" i="1"/>
  <c r="AX44" i="1"/>
  <c r="AY44" i="1"/>
  <c r="BA44" i="1"/>
  <c r="BB44" i="1"/>
  <c r="BC44" i="1"/>
  <c r="BD44" i="1"/>
  <c r="BE44" i="1"/>
  <c r="BF44" i="1"/>
  <c r="BG44" i="1"/>
  <c r="BK44" i="1"/>
  <c r="D49" i="1"/>
  <c r="E49" i="1" s="1"/>
  <c r="I49" i="1"/>
  <c r="J49" i="1" s="1"/>
  <c r="AR49" i="1"/>
  <c r="AS49" i="1"/>
  <c r="AT49" i="1"/>
  <c r="AU49" i="1"/>
  <c r="AW49" i="1"/>
  <c r="AX49" i="1"/>
  <c r="AY49" i="1"/>
  <c r="BA49" i="1"/>
  <c r="BB49" i="1"/>
  <c r="BC49" i="1"/>
  <c r="BD49" i="1"/>
  <c r="BE49" i="1"/>
  <c r="BF49" i="1"/>
  <c r="BG49" i="1"/>
  <c r="BK49" i="1"/>
  <c r="D50" i="1"/>
  <c r="E50" i="1" s="1"/>
  <c r="I50" i="1"/>
  <c r="J50" i="1" s="1"/>
  <c r="AR50" i="1"/>
  <c r="AS50" i="1"/>
  <c r="AT50" i="1"/>
  <c r="AU50" i="1"/>
  <c r="AW50" i="1"/>
  <c r="AX50" i="1"/>
  <c r="AY50" i="1"/>
  <c r="BA50" i="1"/>
  <c r="BB50" i="1"/>
  <c r="BC50" i="1"/>
  <c r="BD50" i="1"/>
  <c r="BE50" i="1"/>
  <c r="BF50" i="1"/>
  <c r="BG50" i="1"/>
  <c r="BK50" i="1"/>
  <c r="D52" i="1"/>
  <c r="E52" i="1" s="1"/>
  <c r="I52" i="1"/>
  <c r="J52" i="1" s="1"/>
  <c r="AR52" i="1"/>
  <c r="AS52" i="1"/>
  <c r="AT52" i="1"/>
  <c r="AW52" i="1"/>
  <c r="AX52" i="1"/>
  <c r="AY52" i="1"/>
  <c r="BA52" i="1"/>
  <c r="BB52" i="1"/>
  <c r="BC52" i="1"/>
  <c r="BD52" i="1"/>
  <c r="BE52" i="1"/>
  <c r="BF52" i="1"/>
  <c r="BG52" i="1"/>
  <c r="BK52" i="1"/>
  <c r="D53" i="1"/>
  <c r="E53" i="1" s="1"/>
  <c r="I53" i="1"/>
  <c r="J53" i="1" s="1"/>
  <c r="AR53" i="1"/>
  <c r="AS53" i="1"/>
  <c r="AT53" i="1"/>
  <c r="AW53" i="1"/>
  <c r="AX53" i="1"/>
  <c r="AY53" i="1"/>
  <c r="BA53" i="1"/>
  <c r="BB53" i="1"/>
  <c r="BC53" i="1"/>
  <c r="BD53" i="1"/>
  <c r="BE53" i="1"/>
  <c r="BF53" i="1"/>
  <c r="BG53" i="1"/>
  <c r="BK53" i="1"/>
  <c r="D54" i="1"/>
  <c r="E54" i="1" s="1"/>
  <c r="I54" i="1"/>
  <c r="J54" i="1" s="1"/>
  <c r="AR54" i="1"/>
  <c r="AS54" i="1"/>
  <c r="AT54" i="1"/>
  <c r="AW54" i="1"/>
  <c r="AX54" i="1"/>
  <c r="AY54" i="1"/>
  <c r="BA54" i="1"/>
  <c r="BB54" i="1"/>
  <c r="BC54" i="1"/>
  <c r="BD54" i="1"/>
  <c r="BE54" i="1"/>
  <c r="BF54" i="1"/>
  <c r="BG54" i="1"/>
  <c r="BK54" i="1"/>
  <c r="D55" i="1"/>
  <c r="E55" i="1" s="1"/>
  <c r="I55" i="1"/>
  <c r="J55" i="1" s="1"/>
  <c r="AR55" i="1"/>
  <c r="AS55" i="1"/>
  <c r="AT55" i="1"/>
  <c r="AW55" i="1"/>
  <c r="AX55" i="1"/>
  <c r="AY55" i="1"/>
  <c r="BA55" i="1"/>
  <c r="BB55" i="1"/>
  <c r="BC55" i="1"/>
  <c r="BD55" i="1"/>
  <c r="BE55" i="1"/>
  <c r="BF55" i="1"/>
  <c r="BG55" i="1"/>
  <c r="BK55" i="1"/>
  <c r="D56" i="1"/>
  <c r="E56" i="1" s="1"/>
  <c r="I56" i="1"/>
  <c r="J56" i="1" s="1"/>
  <c r="AR56" i="1"/>
  <c r="AS56" i="1"/>
  <c r="AT56" i="1"/>
  <c r="AW56" i="1"/>
  <c r="AX56" i="1"/>
  <c r="AY56" i="1"/>
  <c r="BA56" i="1"/>
  <c r="BB56" i="1"/>
  <c r="BC56" i="1"/>
  <c r="BD56" i="1"/>
  <c r="BE56" i="1"/>
  <c r="BF56" i="1"/>
  <c r="BG56" i="1"/>
  <c r="BK56" i="1"/>
  <c r="D57" i="1"/>
  <c r="E57" i="1" s="1"/>
  <c r="I57" i="1"/>
  <c r="J57" i="1" s="1"/>
  <c r="AR57" i="1"/>
  <c r="AS57" i="1"/>
  <c r="AT57" i="1"/>
  <c r="AU57" i="1"/>
  <c r="AW57" i="1"/>
  <c r="AX57" i="1"/>
  <c r="AY57" i="1"/>
  <c r="BA57" i="1"/>
  <c r="BB57" i="1"/>
  <c r="BC57" i="1"/>
  <c r="BD57" i="1"/>
  <c r="BE57" i="1"/>
  <c r="BF57" i="1"/>
  <c r="BG57" i="1"/>
  <c r="BK57" i="1"/>
  <c r="D58" i="1"/>
  <c r="E58" i="1" s="1"/>
  <c r="I58" i="1"/>
  <c r="J58" i="1" s="1"/>
  <c r="AR58" i="1"/>
  <c r="AS58" i="1"/>
  <c r="AT58" i="1"/>
  <c r="AU58" i="1"/>
  <c r="AW58" i="1"/>
  <c r="AX58" i="1"/>
  <c r="AY58" i="1"/>
  <c r="BA58" i="1"/>
  <c r="BB58" i="1"/>
  <c r="BC58" i="1"/>
  <c r="BD58" i="1"/>
  <c r="BE58" i="1"/>
  <c r="BF58" i="1"/>
  <c r="BG58" i="1"/>
  <c r="BK58" i="1"/>
  <c r="D59" i="1"/>
  <c r="E59" i="1" s="1"/>
  <c r="I59" i="1"/>
  <c r="J59" i="1" s="1"/>
  <c r="AR59" i="1"/>
  <c r="AS59" i="1"/>
  <c r="AT59" i="1"/>
  <c r="AU59" i="1"/>
  <c r="AW59" i="1"/>
  <c r="AX59" i="1"/>
  <c r="AY59" i="1"/>
  <c r="BA59" i="1"/>
  <c r="BB59" i="1"/>
  <c r="BC59" i="1"/>
  <c r="BD59" i="1"/>
  <c r="BE59" i="1"/>
  <c r="BF59" i="1"/>
  <c r="BG59" i="1"/>
  <c r="BK59" i="1"/>
  <c r="D60" i="1"/>
  <c r="E60" i="1" s="1"/>
  <c r="I60" i="1"/>
  <c r="J60" i="1" s="1"/>
  <c r="AR60" i="1"/>
  <c r="AS60" i="1"/>
  <c r="AT60" i="1"/>
  <c r="AU60" i="1"/>
  <c r="AW60" i="1"/>
  <c r="AX60" i="1"/>
  <c r="AY60" i="1"/>
  <c r="BA60" i="1"/>
  <c r="BB60" i="1"/>
  <c r="BC60" i="1"/>
  <c r="BD60" i="1"/>
  <c r="BE60" i="1"/>
  <c r="BF60" i="1"/>
  <c r="BG60" i="1"/>
  <c r="BK60" i="1"/>
  <c r="D61" i="1"/>
  <c r="E61" i="1" s="1"/>
  <c r="I61" i="1"/>
  <c r="J61" i="1" s="1"/>
  <c r="AR61" i="1"/>
  <c r="AS61" i="1"/>
  <c r="AT61" i="1"/>
  <c r="AU61" i="1"/>
  <c r="AW61" i="1"/>
  <c r="AX61" i="1"/>
  <c r="AY61" i="1"/>
  <c r="BA61" i="1"/>
  <c r="BB61" i="1"/>
  <c r="BC61" i="1"/>
  <c r="BD61" i="1"/>
  <c r="BE61" i="1"/>
  <c r="BF61" i="1"/>
  <c r="BG61" i="1"/>
  <c r="BK61" i="1"/>
  <c r="D62" i="1"/>
  <c r="E62" i="1" s="1"/>
  <c r="I62" i="1"/>
  <c r="J62" i="1" s="1"/>
  <c r="AR62" i="1"/>
  <c r="AS62" i="1"/>
  <c r="AT62" i="1"/>
  <c r="AU62" i="1"/>
  <c r="AW62" i="1"/>
  <c r="AX62" i="1"/>
  <c r="AY62" i="1"/>
  <c r="BA62" i="1"/>
  <c r="BB62" i="1"/>
  <c r="BC62" i="1"/>
  <c r="BD62" i="1"/>
  <c r="BE62" i="1"/>
  <c r="BF62" i="1"/>
  <c r="BG62" i="1"/>
  <c r="BK62" i="1"/>
  <c r="D63" i="1"/>
  <c r="E63" i="1" s="1"/>
  <c r="I63" i="1"/>
  <c r="J63" i="1" s="1"/>
  <c r="AR63" i="1"/>
  <c r="AS63" i="1"/>
  <c r="AT63" i="1"/>
  <c r="AU63" i="1"/>
  <c r="AW63" i="1"/>
  <c r="AX63" i="1"/>
  <c r="AY63" i="1"/>
  <c r="BA63" i="1"/>
  <c r="BB63" i="1"/>
  <c r="BC63" i="1"/>
  <c r="BD63" i="1"/>
  <c r="BE63" i="1"/>
  <c r="BF63" i="1"/>
  <c r="BG63" i="1"/>
  <c r="BK63" i="1"/>
  <c r="D64" i="1"/>
  <c r="E64" i="1" s="1"/>
  <c r="I64" i="1"/>
  <c r="J64" i="1" s="1"/>
  <c r="AR64" i="1"/>
  <c r="AS64" i="1"/>
  <c r="AT64" i="1"/>
  <c r="AU64" i="1"/>
  <c r="AW64" i="1"/>
  <c r="AX64" i="1"/>
  <c r="AY64" i="1"/>
  <c r="BA64" i="1"/>
  <c r="BB64" i="1"/>
  <c r="BC64" i="1"/>
  <c r="BD64" i="1"/>
  <c r="BE64" i="1"/>
  <c r="BF64" i="1"/>
  <c r="BG64" i="1"/>
  <c r="BK64" i="1"/>
  <c r="D65" i="1"/>
  <c r="E65" i="1" s="1"/>
  <c r="I65" i="1"/>
  <c r="J65" i="1" s="1"/>
  <c r="AR65" i="1"/>
  <c r="AS65" i="1"/>
  <c r="AT65" i="1"/>
  <c r="AU65" i="1"/>
  <c r="AW65" i="1"/>
  <c r="AX65" i="1"/>
  <c r="AY65" i="1"/>
  <c r="BA65" i="1"/>
  <c r="BB65" i="1"/>
  <c r="BC65" i="1"/>
  <c r="BD65" i="1"/>
  <c r="BE65" i="1"/>
  <c r="BF65" i="1"/>
  <c r="BG65" i="1"/>
  <c r="BK65" i="1"/>
  <c r="D66" i="1"/>
  <c r="E66" i="1" s="1"/>
  <c r="I66" i="1"/>
  <c r="J66" i="1" s="1"/>
  <c r="AR66" i="1"/>
  <c r="AS66" i="1"/>
  <c r="AT66" i="1"/>
  <c r="AU66" i="1"/>
  <c r="AW66" i="1"/>
  <c r="AX66" i="1"/>
  <c r="AY66" i="1"/>
  <c r="BA66" i="1"/>
  <c r="BB66" i="1"/>
  <c r="BC66" i="1"/>
  <c r="BD66" i="1"/>
  <c r="BE66" i="1"/>
  <c r="BF66" i="1"/>
  <c r="BG66" i="1"/>
  <c r="BK66" i="1"/>
  <c r="D67" i="1"/>
  <c r="E67" i="1" s="1"/>
  <c r="I67" i="1"/>
  <c r="J67" i="1" s="1"/>
  <c r="AR67" i="1"/>
  <c r="AS67" i="1"/>
  <c r="AT67" i="1"/>
  <c r="AU67" i="1"/>
  <c r="AW67" i="1"/>
  <c r="AX67" i="1"/>
  <c r="AY67" i="1"/>
  <c r="BA67" i="1"/>
  <c r="BB67" i="1"/>
  <c r="BC67" i="1"/>
  <c r="BD67" i="1"/>
  <c r="BE67" i="1"/>
  <c r="BF67" i="1"/>
  <c r="BG67" i="1"/>
  <c r="BK67" i="1"/>
  <c r="D68" i="1"/>
  <c r="E68" i="1" s="1"/>
  <c r="I68" i="1"/>
  <c r="J68" i="1" s="1"/>
  <c r="AR68" i="1"/>
  <c r="AS68" i="1"/>
  <c r="AT68" i="1"/>
  <c r="AU68" i="1"/>
  <c r="AW68" i="1"/>
  <c r="AX68" i="1"/>
  <c r="AY68" i="1"/>
  <c r="BA68" i="1"/>
  <c r="BB68" i="1"/>
  <c r="BC68" i="1"/>
  <c r="BD68" i="1"/>
  <c r="BE68" i="1"/>
  <c r="BF68" i="1"/>
  <c r="BG68" i="1"/>
  <c r="BK68" i="1"/>
  <c r="D70" i="1"/>
  <c r="E70" i="1" s="1"/>
  <c r="I70" i="1"/>
  <c r="J70" i="1" s="1"/>
  <c r="AR70" i="1"/>
  <c r="AS70" i="1"/>
  <c r="AT70" i="1"/>
  <c r="AU70" i="1"/>
  <c r="AW70" i="1"/>
  <c r="AX70" i="1"/>
  <c r="AY70" i="1"/>
  <c r="BA70" i="1"/>
  <c r="BB70" i="1"/>
  <c r="BC70" i="1"/>
  <c r="BD70" i="1"/>
  <c r="BE70" i="1"/>
  <c r="BF70" i="1"/>
  <c r="BG70" i="1"/>
  <c r="BK70" i="1"/>
  <c r="D73" i="1"/>
  <c r="E73" i="1" s="1"/>
  <c r="I73" i="1"/>
  <c r="J73" i="1" s="1"/>
  <c r="AR73" i="1"/>
  <c r="AS73" i="1"/>
  <c r="AT73" i="1"/>
  <c r="AU73" i="1"/>
  <c r="AW73" i="1"/>
  <c r="AX73" i="1"/>
  <c r="AY73" i="1"/>
  <c r="BA73" i="1"/>
  <c r="BB73" i="1"/>
  <c r="BC73" i="1"/>
  <c r="BD73" i="1"/>
  <c r="BE73" i="1"/>
  <c r="BF73" i="1"/>
  <c r="BG73" i="1"/>
  <c r="BK73" i="1"/>
  <c r="J75" i="1"/>
  <c r="R75" i="1"/>
  <c r="Z75" i="1"/>
  <c r="AA75" i="1"/>
  <c r="AR75" i="1" s="1"/>
  <c r="AB75" i="1"/>
  <c r="AS75" i="1" s="1"/>
  <c r="AC75" i="1"/>
  <c r="AT75" i="1" s="1"/>
  <c r="AD75" i="1"/>
  <c r="AU75" i="1" s="1"/>
  <c r="AF75" i="1"/>
  <c r="AW75" i="1" s="1"/>
  <c r="AG75" i="1"/>
  <c r="AX75" i="1" s="1"/>
  <c r="AH75" i="1"/>
  <c r="AY75" i="1" s="1"/>
  <c r="AJ75" i="1"/>
  <c r="BA75" i="1" s="1"/>
  <c r="AK75" i="1"/>
  <c r="BB75" i="1" s="1"/>
  <c r="AL75" i="1"/>
  <c r="BC75" i="1" s="1"/>
  <c r="AM75" i="1"/>
  <c r="BD75" i="1" s="1"/>
  <c r="AN75" i="1"/>
  <c r="BE75" i="1" s="1"/>
  <c r="AO75" i="1"/>
  <c r="BF75" i="1" s="1"/>
  <c r="AP75" i="1"/>
  <c r="BG75" i="1" s="1"/>
  <c r="AQ75" i="1"/>
  <c r="J76" i="1"/>
  <c r="R76" i="1"/>
  <c r="AR76" i="1"/>
  <c r="AS76" i="1"/>
  <c r="AT76" i="1"/>
  <c r="AU76" i="1"/>
  <c r="AW76" i="1"/>
  <c r="AX76" i="1"/>
  <c r="AY76" i="1"/>
  <c r="BA76" i="1"/>
  <c r="BB76" i="1"/>
  <c r="BC76" i="1"/>
  <c r="BD76" i="1"/>
  <c r="BE76" i="1"/>
  <c r="BF76" i="1"/>
  <c r="BJ76" i="1" s="1"/>
  <c r="BG76" i="1"/>
  <c r="J77" i="1"/>
  <c r="Q77" i="1"/>
  <c r="R77" i="1"/>
  <c r="AR77" i="1"/>
  <c r="AS77" i="1"/>
  <c r="AT77" i="1"/>
  <c r="AU77" i="1"/>
  <c r="AW77" i="1"/>
  <c r="AX77" i="1"/>
  <c r="AY77" i="1"/>
  <c r="BA77" i="1"/>
  <c r="BB77" i="1"/>
  <c r="BC77" i="1"/>
  <c r="BD77" i="1"/>
  <c r="BE77" i="1"/>
  <c r="BF77" i="1"/>
  <c r="BJ77" i="1" s="1"/>
  <c r="BG77" i="1"/>
  <c r="J78" i="1"/>
  <c r="Q78" i="1"/>
  <c r="R78" i="1"/>
  <c r="AR78" i="1"/>
  <c r="AS78" i="1"/>
  <c r="AT78" i="1"/>
  <c r="AU78" i="1"/>
  <c r="AW78" i="1"/>
  <c r="AX78" i="1"/>
  <c r="AY78" i="1"/>
  <c r="BA78" i="1"/>
  <c r="BB78" i="1"/>
  <c r="BC78" i="1"/>
  <c r="BD78" i="1"/>
  <c r="BE78" i="1"/>
  <c r="BF78" i="1"/>
  <c r="BJ78" i="1" s="1"/>
  <c r="BG78" i="1"/>
  <c r="J79" i="1"/>
  <c r="Q79" i="1"/>
  <c r="R79" i="1"/>
  <c r="AR79" i="1"/>
  <c r="AS79" i="1"/>
  <c r="AT79" i="1"/>
  <c r="AU79" i="1"/>
  <c r="AW79" i="1"/>
  <c r="AX79" i="1"/>
  <c r="AY79" i="1"/>
  <c r="BA79" i="1"/>
  <c r="BB79" i="1"/>
  <c r="BC79" i="1"/>
  <c r="BD79" i="1"/>
  <c r="BE79" i="1"/>
  <c r="BF79" i="1"/>
  <c r="BJ79" i="1" s="1"/>
  <c r="BG79" i="1"/>
  <c r="J80" i="1"/>
  <c r="AR80" i="1"/>
  <c r="AS80" i="1"/>
  <c r="AT80" i="1"/>
  <c r="AU80" i="1"/>
  <c r="AW80" i="1"/>
  <c r="AX80" i="1"/>
  <c r="AY80" i="1"/>
  <c r="BA80" i="1"/>
  <c r="BB80" i="1"/>
  <c r="BC80" i="1"/>
  <c r="BD80" i="1"/>
  <c r="BE80" i="1"/>
  <c r="BF80" i="1"/>
  <c r="BJ80" i="1" s="1"/>
  <c r="BG80" i="1"/>
  <c r="J81" i="1"/>
  <c r="AR81" i="1"/>
  <c r="AS81" i="1"/>
  <c r="AT81" i="1"/>
  <c r="AU81" i="1"/>
  <c r="AW81" i="1"/>
  <c r="AX81" i="1"/>
  <c r="AY81" i="1"/>
  <c r="BA81" i="1"/>
  <c r="BB81" i="1"/>
  <c r="BC81" i="1"/>
  <c r="BD81" i="1"/>
  <c r="BE81" i="1"/>
  <c r="BF81" i="1"/>
  <c r="BJ81" i="1" s="1"/>
  <c r="BG81" i="1"/>
  <c r="J82" i="1"/>
  <c r="R82" i="1"/>
  <c r="AR82" i="1"/>
  <c r="AS82" i="1"/>
  <c r="AT82" i="1"/>
  <c r="AU82" i="1"/>
  <c r="AW82" i="1"/>
  <c r="AX82" i="1"/>
  <c r="AY82" i="1"/>
  <c r="BA82" i="1"/>
  <c r="BB82" i="1"/>
  <c r="BC82" i="1"/>
  <c r="BD82" i="1"/>
  <c r="BE82" i="1"/>
  <c r="BF82" i="1"/>
  <c r="BJ82" i="1" s="1"/>
  <c r="BG82" i="1"/>
  <c r="BH73" i="1" l="1"/>
  <c r="BI71" i="1"/>
  <c r="BJ71" i="1"/>
  <c r="BH47" i="1"/>
  <c r="BJ47" i="1" s="1"/>
  <c r="BI47" i="1"/>
  <c r="BH45" i="1"/>
  <c r="BJ45" i="1" s="1"/>
  <c r="BI45" i="1"/>
  <c r="BH42" i="1"/>
  <c r="BJ42" i="1" s="1"/>
  <c r="BI42" i="1"/>
  <c r="BI33" i="1"/>
  <c r="BH33" i="1"/>
  <c r="BJ33" i="1" s="1"/>
  <c r="BI6" i="1"/>
  <c r="E6" i="1"/>
  <c r="BH18" i="1"/>
  <c r="BJ18" i="1" s="1"/>
  <c r="BH6" i="1"/>
  <c r="BJ6" i="1" s="1"/>
  <c r="BI34" i="1"/>
  <c r="BI54" i="1"/>
  <c r="BI28" i="1"/>
  <c r="BH49" i="1"/>
  <c r="BJ49" i="1" s="1"/>
  <c r="BI59" i="1"/>
  <c r="BI56" i="1"/>
  <c r="BI9" i="1"/>
  <c r="BI73" i="1"/>
  <c r="BI68" i="1"/>
  <c r="BH64" i="1"/>
  <c r="BJ64" i="1" s="1"/>
  <c r="BI27" i="1"/>
  <c r="BH19" i="1"/>
  <c r="BJ19" i="1" s="1"/>
  <c r="BI16" i="1"/>
  <c r="BH12" i="1"/>
  <c r="BJ12" i="1" s="1"/>
  <c r="BH21" i="1"/>
  <c r="BJ21" i="1" s="1"/>
  <c r="BI41" i="1"/>
  <c r="BJ69" i="1"/>
  <c r="BH55" i="1"/>
  <c r="BJ55" i="1" s="1"/>
  <c r="BH10" i="1"/>
  <c r="BJ10" i="1" s="1"/>
  <c r="BH31" i="1"/>
  <c r="BJ31" i="1" s="1"/>
  <c r="BH29" i="1"/>
  <c r="BJ29" i="1" s="1"/>
  <c r="BH82" i="1"/>
  <c r="BK82" i="1" s="1"/>
  <c r="BI40" i="1"/>
  <c r="BH37" i="1"/>
  <c r="BJ37" i="1" s="1"/>
  <c r="BI49" i="1"/>
  <c r="BH46" i="1"/>
  <c r="BJ46" i="1" s="1"/>
  <c r="BI29" i="1"/>
  <c r="BH27" i="1"/>
  <c r="BJ27" i="1" s="1"/>
  <c r="BH24" i="1"/>
  <c r="BJ24" i="1" s="1"/>
  <c r="BI19" i="1"/>
  <c r="BJ67" i="1"/>
  <c r="BH66" i="1"/>
  <c r="BJ66" i="1" s="1"/>
  <c r="BH44" i="1"/>
  <c r="BJ44" i="1" s="1"/>
  <c r="BI14" i="1"/>
  <c r="BI78" i="1"/>
  <c r="BI76" i="1"/>
  <c r="BH61" i="1"/>
  <c r="BJ61" i="1" s="1"/>
  <c r="BH60" i="1"/>
  <c r="BJ60" i="1" s="1"/>
  <c r="BH59" i="1"/>
  <c r="BJ59" i="1" s="1"/>
  <c r="BH58" i="1"/>
  <c r="BJ58" i="1" s="1"/>
  <c r="BI57" i="1"/>
  <c r="BH56" i="1"/>
  <c r="BJ56" i="1" s="1"/>
  <c r="BI55" i="1"/>
  <c r="BI31" i="1"/>
  <c r="BH30" i="1"/>
  <c r="BJ30" i="1" s="1"/>
  <c r="BI25" i="1"/>
  <c r="BI81" i="1"/>
  <c r="BH79" i="1"/>
  <c r="BK79" i="1" s="1"/>
  <c r="BH65" i="1"/>
  <c r="BJ65" i="1" s="1"/>
  <c r="BI64" i="1"/>
  <c r="BI63" i="1"/>
  <c r="BI62" i="1"/>
  <c r="BH43" i="1"/>
  <c r="BJ43" i="1" s="1"/>
  <c r="BH9" i="1"/>
  <c r="BJ9" i="1" s="1"/>
  <c r="BH40" i="1"/>
  <c r="BJ40" i="1" s="1"/>
  <c r="BH39" i="1"/>
  <c r="BJ39" i="1" s="1"/>
  <c r="BH38" i="1"/>
  <c r="BJ38" i="1" s="1"/>
  <c r="BI37" i="1"/>
  <c r="BH35" i="1"/>
  <c r="BJ35" i="1" s="1"/>
  <c r="BH34" i="1"/>
  <c r="BJ34" i="1" s="1"/>
  <c r="BH32" i="1"/>
  <c r="BJ32" i="1" s="1"/>
  <c r="BI13" i="1"/>
  <c r="BI10" i="1"/>
  <c r="BI8" i="1"/>
  <c r="BH48" i="1"/>
  <c r="BJ48" i="1" s="1"/>
  <c r="BI23" i="1"/>
  <c r="BI26" i="1"/>
  <c r="BH54" i="1"/>
  <c r="BJ54" i="1" s="1"/>
  <c r="BH53" i="1"/>
  <c r="BJ53" i="1" s="1"/>
  <c r="W84" i="1"/>
  <c r="BH78" i="1"/>
  <c r="BK78" i="1" s="1"/>
  <c r="X84" i="1"/>
  <c r="BK75" i="1"/>
  <c r="BI12" i="1"/>
  <c r="BI35" i="1"/>
  <c r="BH80" i="1"/>
  <c r="BK80" i="1" s="1"/>
  <c r="BI67" i="1"/>
  <c r="BH8" i="1"/>
  <c r="BJ8" i="1" s="1"/>
  <c r="BI61" i="1"/>
  <c r="BI65" i="1"/>
  <c r="BI44" i="1"/>
  <c r="BI48" i="1"/>
  <c r="E7" i="1"/>
  <c r="BI39" i="1"/>
  <c r="BH14" i="1"/>
  <c r="BJ14" i="1" s="1"/>
  <c r="BH20" i="1"/>
  <c r="BJ20" i="1" s="1"/>
  <c r="BI21" i="1"/>
  <c r="BI43" i="1"/>
  <c r="BH23" i="1"/>
  <c r="BJ23" i="1" s="1"/>
  <c r="BH25" i="1"/>
  <c r="BJ25" i="1" s="1"/>
  <c r="BI7" i="1"/>
  <c r="BI69" i="1"/>
  <c r="BH36" i="1"/>
  <c r="BJ36" i="1" s="1"/>
  <c r="BI36" i="1"/>
  <c r="BH17" i="1"/>
  <c r="BJ17" i="1" s="1"/>
  <c r="BI17" i="1"/>
  <c r="BI72" i="1"/>
  <c r="BJ72" i="1"/>
  <c r="BH51" i="1"/>
  <c r="BJ51" i="1" s="1"/>
  <c r="BI51" i="1"/>
  <c r="BH81" i="1"/>
  <c r="BK81" i="1" s="1"/>
  <c r="BH76" i="1"/>
  <c r="BK76" i="1" s="1"/>
  <c r="BJ70" i="1"/>
  <c r="BI70" i="1"/>
  <c r="BJ68" i="1"/>
  <c r="BI60" i="1"/>
  <c r="BH52" i="1"/>
  <c r="BJ52" i="1" s="1"/>
  <c r="BH50" i="1"/>
  <c r="BJ50" i="1" s="1"/>
  <c r="BI50" i="1"/>
  <c r="BI11" i="1"/>
  <c r="BH11" i="1"/>
  <c r="BJ11" i="1" s="1"/>
  <c r="BI82" i="1"/>
  <c r="BI77" i="1"/>
  <c r="BI80" i="1"/>
  <c r="BH77" i="1"/>
  <c r="BK77" i="1" s="1"/>
  <c r="BI53" i="1"/>
  <c r="E12" i="1"/>
  <c r="BI79" i="1"/>
  <c r="BI52" i="1"/>
  <c r="BH62" i="1"/>
  <c r="BJ62" i="1" s="1"/>
  <c r="BI38" i="1"/>
  <c r="BI24" i="1"/>
  <c r="BI18" i="1"/>
  <c r="BH57" i="1"/>
  <c r="BJ57" i="1" s="1"/>
  <c r="BI30" i="1"/>
  <c r="BH28" i="1"/>
  <c r="BJ28" i="1" s="1"/>
  <c r="BI15" i="1"/>
  <c r="BH15" i="1"/>
  <c r="BJ15" i="1" s="1"/>
  <c r="E10" i="1"/>
  <c r="BI66" i="1"/>
  <c r="BI58" i="1"/>
  <c r="BI32" i="1"/>
  <c r="BH13" i="1"/>
  <c r="BJ13" i="1" s="1"/>
  <c r="BI20" i="1"/>
  <c r="BI46" i="1"/>
  <c r="BJ73" i="1"/>
  <c r="BH63" i="1"/>
  <c r="BJ63" i="1" s="1"/>
  <c r="BH41" i="1"/>
  <c r="BJ41" i="1" s="1"/>
  <c r="BH16" i="1"/>
  <c r="BJ16" i="1" s="1"/>
  <c r="Q82" i="1"/>
  <c r="BH26" i="1"/>
  <c r="BJ26" i="1" s="1"/>
  <c r="BH7" i="1"/>
  <c r="BJ7" i="1" s="1"/>
  <c r="F22" i="1" l="1"/>
  <c r="F6" i="1"/>
  <c r="F7" i="1"/>
  <c r="F11" i="1"/>
  <c r="F15" i="1"/>
  <c r="F19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14" i="1"/>
  <c r="F43" i="1"/>
  <c r="F59" i="1"/>
  <c r="F8" i="1"/>
  <c r="F12" i="1"/>
  <c r="F16" i="1"/>
  <c r="F20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18" i="1"/>
  <c r="F35" i="1"/>
  <c r="F47" i="1"/>
  <c r="F55" i="1"/>
  <c r="F67" i="1"/>
  <c r="F9" i="1"/>
  <c r="F13" i="1"/>
  <c r="F17" i="1"/>
  <c r="F21" i="1"/>
  <c r="F26" i="1"/>
  <c r="F30" i="1"/>
  <c r="F34" i="1"/>
  <c r="F38" i="1"/>
  <c r="F42" i="1"/>
  <c r="F46" i="1"/>
  <c r="F50" i="1"/>
  <c r="F54" i="1"/>
  <c r="F58" i="1"/>
  <c r="F62" i="1"/>
  <c r="F66" i="1"/>
  <c r="F70" i="1"/>
  <c r="F10" i="1"/>
  <c r="F23" i="1"/>
  <c r="F27" i="1"/>
  <c r="F31" i="1"/>
  <c r="F39" i="1"/>
  <c r="F51" i="1"/>
  <c r="F63" i="1"/>
  <c r="F71" i="1"/>
  <c r="BI75" i="1"/>
  <c r="BJ75" i="1"/>
  <c r="BH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uklingen</author>
    <author>Klingenfuss, Urs [CILCH]</author>
  </authors>
  <commentList>
    <comment ref="BH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uklingen:</t>
        </r>
        <r>
          <rPr>
            <sz val="8"/>
            <color indexed="81"/>
            <rFont val="Tahoma"/>
            <family val="2"/>
          </rPr>
          <t xml:space="preserve">
1-20 Schüsse                            = 1 Rangeur
für weitere 1-20 Schüsse      = 1 Rangeur
Meisterschaft in 2 Stell.       = 5 Rangeure
Liegendmeisterschaft           = 4 Rangeure</t>
        </r>
      </text>
    </comment>
    <comment ref="BJ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uklingen:</t>
        </r>
        <r>
          <rPr>
            <sz val="8"/>
            <color indexed="81"/>
            <rFont val="Tahoma"/>
            <family val="2"/>
          </rPr>
          <t xml:space="preserve">
1-20 Schüsse                            = 1 Rangeur
für weitere 1-20 Schüsse      = 1 Rangeur
Meisterschaft in 2 Stell.       = 5 Rangeure
Liegendmeisterschaft           = 4 Rangeure</t>
        </r>
      </text>
    </comment>
    <comment ref="BK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uklingen:</t>
        </r>
        <r>
          <rPr>
            <sz val="8"/>
            <color indexed="81"/>
            <rFont val="Tahoma"/>
            <family val="2"/>
          </rPr>
          <t xml:space="preserve">
1-20 Schüsse                            = 1 Rangeur
für weitere 1-20 Schüsse      = 1 Rangeur
Meisterschaft in 2 Stell.       = 5 Rangeure
Liegendmeisterschaft           = 4 Rangeure</t>
        </r>
      </text>
    </comment>
    <comment ref="AN33" authorId="1" shapeId="0" xr:uid="{3ED57A6B-F36D-48B3-B5A5-0B31BB287859}">
      <text>
        <r>
          <rPr>
            <b/>
            <sz val="9"/>
            <color indexed="81"/>
            <rFont val="Segoe UI"/>
            <charset val="1"/>
          </rPr>
          <t>Klingenfuss, Urs [CILCH]:</t>
        </r>
        <r>
          <rPr>
            <sz val="9"/>
            <color indexed="81"/>
            <rFont val="Segoe UI"/>
            <charset val="1"/>
          </rPr>
          <t xml:space="preserve">
5 --&gt; 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Klingenfuss, Urs [CILCH]</author>
  </authors>
  <commentList>
    <comment ref="A30" authorId="0" shapeId="0" xr:uid="{00000000-0006-0000-0300-000001000000}">
      <text>
        <r>
          <rPr>
            <sz val="9"/>
            <color indexed="81"/>
            <rFont val="Tahoma"/>
            <family val="2"/>
          </rPr>
          <t>besteht aus Stich "Kunst"</t>
        </r>
      </text>
    </comment>
  </commentList>
</comments>
</file>

<file path=xl/sharedStrings.xml><?xml version="1.0" encoding="utf-8"?>
<sst xmlns="http://schemas.openxmlformats.org/spreadsheetml/2006/main" count="709" uniqueCount="488">
  <si>
    <t>Name</t>
  </si>
  <si>
    <t>Vorname</t>
  </si>
  <si>
    <t>Geb.datum</t>
  </si>
  <si>
    <t>Jg</t>
  </si>
  <si>
    <t>Adresse</t>
  </si>
  <si>
    <t>PLZ</t>
  </si>
  <si>
    <t>Ort</t>
  </si>
  <si>
    <t>Tel P</t>
  </si>
  <si>
    <t>Waffe</t>
  </si>
  <si>
    <t>Personendaten</t>
  </si>
  <si>
    <t>Gruppenwettk.</t>
  </si>
  <si>
    <t>Stichbestellung</t>
  </si>
  <si>
    <t>Unterkunft</t>
  </si>
  <si>
    <t>Klingenfuss</t>
  </si>
  <si>
    <t>Urs</t>
  </si>
  <si>
    <t>Freier Platz 7</t>
  </si>
  <si>
    <t>Schaffhausen</t>
  </si>
  <si>
    <t>052 625 49 29</t>
  </si>
  <si>
    <t>052 630 98 42</t>
  </si>
  <si>
    <t>57/02</t>
  </si>
  <si>
    <t>57/03</t>
  </si>
  <si>
    <t>Einzel</t>
  </si>
  <si>
    <t>Doppel</t>
  </si>
  <si>
    <t>Rangeurberechnung</t>
  </si>
  <si>
    <t>Schuss ohne Meist.</t>
  </si>
  <si>
    <t>Schuss mit Meist.</t>
  </si>
  <si>
    <t>Gruppenwettk</t>
  </si>
  <si>
    <t>x</t>
  </si>
  <si>
    <t>o</t>
  </si>
  <si>
    <t>Kar</t>
  </si>
  <si>
    <t>Doppelzi mit</t>
  </si>
  <si>
    <t>Fiechter</t>
  </si>
  <si>
    <t>Paul</t>
  </si>
  <si>
    <t>Diessenhofen</t>
  </si>
  <si>
    <t>052 657 12 44</t>
  </si>
  <si>
    <t>Zahn</t>
  </si>
  <si>
    <t>Königshofweg 8</t>
  </si>
  <si>
    <t>Basadingen</t>
  </si>
  <si>
    <t>052 657 30 74</t>
  </si>
  <si>
    <t>Röder</t>
  </si>
  <si>
    <t>Andreas</t>
  </si>
  <si>
    <t>Trestenberg 10</t>
  </si>
  <si>
    <t>052 646 05 18</t>
  </si>
  <si>
    <t>052 657 35 45</t>
  </si>
  <si>
    <t>Peter</t>
  </si>
  <si>
    <t>Bürgi</t>
  </si>
  <si>
    <t>Kurt</t>
  </si>
  <si>
    <t>052 657 25 41</t>
  </si>
  <si>
    <t>Schmid</t>
  </si>
  <si>
    <t>Louis</t>
  </si>
  <si>
    <t>Winkelweg 1</t>
  </si>
  <si>
    <t>079 644 19 02</t>
  </si>
  <si>
    <t>052 657 29 12</t>
  </si>
  <si>
    <t>Manuel</t>
  </si>
  <si>
    <t>079 761 88 62</t>
  </si>
  <si>
    <t>Meier</t>
  </si>
  <si>
    <t>Hans</t>
  </si>
  <si>
    <t>Kapfstr. 3</t>
  </si>
  <si>
    <t>079 408 93 22</t>
  </si>
  <si>
    <t>Jörg</t>
  </si>
  <si>
    <t>Trottenacker 1</t>
  </si>
  <si>
    <t>052 657 13 20</t>
  </si>
  <si>
    <t>Mäder</t>
  </si>
  <si>
    <t>Ernst</t>
  </si>
  <si>
    <t>Breitlen 3</t>
  </si>
  <si>
    <t>052 657 23 68</t>
  </si>
  <si>
    <t>Bölsterli</t>
  </si>
  <si>
    <t>Rychgasse 7a</t>
  </si>
  <si>
    <t>052 657 36 59</t>
  </si>
  <si>
    <t>Breitler</t>
  </si>
  <si>
    <t>Andrea</t>
  </si>
  <si>
    <t>079 379 44 27</t>
  </si>
  <si>
    <t>Ott</t>
  </si>
  <si>
    <t>Kilian</t>
  </si>
  <si>
    <t>Kirchgasse 12</t>
  </si>
  <si>
    <t>079 349 53 12</t>
  </si>
  <si>
    <t>Keller</t>
  </si>
  <si>
    <t>Schulweg 4</t>
  </si>
  <si>
    <t>052 657 46 57</t>
  </si>
  <si>
    <t>Rütimann</t>
  </si>
  <si>
    <t>Jürg</t>
  </si>
  <si>
    <t>052 657 11 63</t>
  </si>
  <si>
    <t>Leu</t>
  </si>
  <si>
    <t>Philipp</t>
  </si>
  <si>
    <t>Johann</t>
  </si>
  <si>
    <t>Kirchgasse 18</t>
  </si>
  <si>
    <t>052 657 18 45</t>
  </si>
  <si>
    <t>Maya</t>
  </si>
  <si>
    <t>Unterdorf 10</t>
  </si>
  <si>
    <t>Hungerbühler</t>
  </si>
  <si>
    <t>Marc</t>
  </si>
  <si>
    <t>Unterdorf 4</t>
  </si>
  <si>
    <t>Hemishofen</t>
  </si>
  <si>
    <t>052 741 23 53</t>
  </si>
  <si>
    <t>keine</t>
  </si>
  <si>
    <t>Oliver</t>
  </si>
  <si>
    <t>Benken</t>
  </si>
  <si>
    <t>079 418 55 31</t>
  </si>
  <si>
    <t>Itel</t>
  </si>
  <si>
    <t>Gregor</t>
  </si>
  <si>
    <t>078 699 92 15</t>
  </si>
  <si>
    <t>Stefan</t>
  </si>
  <si>
    <t>076 306 87 86</t>
  </si>
  <si>
    <t>Mario</t>
  </si>
  <si>
    <t>043 344 32 85</t>
  </si>
  <si>
    <t>079 238 32 78</t>
  </si>
  <si>
    <t>Anzahl Rangeure</t>
  </si>
  <si>
    <t>x1</t>
  </si>
  <si>
    <t>x2</t>
  </si>
  <si>
    <t>x3</t>
  </si>
  <si>
    <t>x4</t>
  </si>
  <si>
    <t>davon Meist.-Rangeure</t>
  </si>
  <si>
    <t>Adr.Nr.</t>
  </si>
  <si>
    <t>005 Übungskehr</t>
  </si>
  <si>
    <t>210 Meist. 2-Stellung</t>
  </si>
  <si>
    <t>Kat</t>
  </si>
  <si>
    <t>Stich</t>
  </si>
  <si>
    <t>Scheibe</t>
  </si>
  <si>
    <t>A10</t>
  </si>
  <si>
    <t>A100</t>
  </si>
  <si>
    <t>040 Auszahlung</t>
  </si>
  <si>
    <t>050 Serie</t>
  </si>
  <si>
    <t>Mathys</t>
  </si>
  <si>
    <t>076 511 62 16</t>
  </si>
  <si>
    <t>Herbigstr. 1</t>
  </si>
  <si>
    <t>Berlingen</t>
  </si>
  <si>
    <t>3-Bett</t>
  </si>
  <si>
    <t>052 657 29 11</t>
  </si>
  <si>
    <t>Christinger</t>
  </si>
  <si>
    <t>Dominic</t>
  </si>
  <si>
    <t>Höhenweg 8</t>
  </si>
  <si>
    <t>052 657 17 85</t>
  </si>
  <si>
    <t>bis</t>
  </si>
  <si>
    <t>030 Militär</t>
  </si>
  <si>
    <t>Stagw</t>
  </si>
  <si>
    <t>eMail</t>
  </si>
  <si>
    <t>mirror.polish@bluewin.ch</t>
  </si>
  <si>
    <t>Fr/Sa</t>
  </si>
  <si>
    <t>roeder@shinternet.ch</t>
  </si>
  <si>
    <t>Sel.</t>
  </si>
  <si>
    <t>urs.boelsterli@bluewin.ch</t>
  </si>
  <si>
    <t>joerg.breitler@tg.ch</t>
  </si>
  <si>
    <t>Senn</t>
  </si>
  <si>
    <t>Nico</t>
  </si>
  <si>
    <t>078 653 78 00</t>
  </si>
  <si>
    <t>nico.senn@gmx.ch</t>
  </si>
  <si>
    <t>greengregor@gmx.ch</t>
  </si>
  <si>
    <t>mario_breitler@gmx.ch</t>
  </si>
  <si>
    <t>Lang</t>
  </si>
  <si>
    <t>Alice</t>
  </si>
  <si>
    <t>pmat@bluewin.ch</t>
  </si>
  <si>
    <t>079 216 73 09</t>
  </si>
  <si>
    <t>ollo.schmid@gmx.ch</t>
  </si>
  <si>
    <t>052 366 33 53</t>
  </si>
  <si>
    <t>080 Ehrengaben</t>
  </si>
  <si>
    <t>Touristenlager m</t>
  </si>
  <si>
    <t>Touristenlager w</t>
  </si>
  <si>
    <t>Meister</t>
  </si>
  <si>
    <t>Schlattingen</t>
  </si>
  <si>
    <t>078 866 49 22</t>
  </si>
  <si>
    <t>uklingen@bluewin.ch</t>
  </si>
  <si>
    <t>buergik@bluewin.ch</t>
  </si>
  <si>
    <t>dchristinger92@bluewin.ch</t>
  </si>
  <si>
    <t>Schulweg 5</t>
  </si>
  <si>
    <t>Schlatt</t>
  </si>
  <si>
    <t>Obstgartenstr. 2</t>
  </si>
  <si>
    <t>Wenger</t>
  </si>
  <si>
    <t>Güterstr. 5</t>
  </si>
  <si>
    <t>andrea.breitler@hotmail.com</t>
  </si>
  <si>
    <t>hans.meier@shinternet.ch</t>
  </si>
  <si>
    <t>st.breitler@hotmail.ch</t>
  </si>
  <si>
    <t>ott.kilian@shinternet.ch</t>
  </si>
  <si>
    <t>079 811 40 70</t>
  </si>
  <si>
    <t>Wildensbuchstr. 1</t>
  </si>
  <si>
    <t>058 345 79 79</t>
  </si>
  <si>
    <t>052 646 46 00</t>
  </si>
  <si>
    <t>079 423 17 76</t>
  </si>
  <si>
    <t>Joel</t>
  </si>
  <si>
    <t>Buchbergstrasse 4</t>
  </si>
  <si>
    <t>joel.ott@hotmail.ch</t>
  </si>
  <si>
    <t>hungi1974@gmail.com</t>
  </si>
  <si>
    <t>alice_lang93@hotmail.com</t>
  </si>
  <si>
    <t>079 697 30 89</t>
  </si>
  <si>
    <t>078 860 68 25</t>
  </si>
  <si>
    <t>079 707 94 53</t>
  </si>
  <si>
    <t>Fehrle</t>
  </si>
  <si>
    <t>076 338 90 69</t>
  </si>
  <si>
    <t>Waldvogel</t>
  </si>
  <si>
    <t>Fabian</t>
  </si>
  <si>
    <t>079 534 99 35</t>
  </si>
  <si>
    <t>fabe.waldvogel@hotmail.com</t>
  </si>
  <si>
    <t>Hansroren 10</t>
  </si>
  <si>
    <t>Weidstrasse 7</t>
  </si>
  <si>
    <t>Sätteli</t>
  </si>
  <si>
    <t>Marcel</t>
  </si>
  <si>
    <t>Hüttenweg 12</t>
  </si>
  <si>
    <t>052 335 22 40</t>
  </si>
  <si>
    <t>Schoch</t>
  </si>
  <si>
    <t>Sabrina</t>
  </si>
  <si>
    <t>Wildensbucherstr. 1</t>
  </si>
  <si>
    <t>079 293 93 90</t>
  </si>
  <si>
    <t>sabrinaschoch@bluewin.ch</t>
  </si>
  <si>
    <t>058 346 01 60</t>
  </si>
  <si>
    <t>Mehrbett</t>
  </si>
  <si>
    <t>Florian</t>
  </si>
  <si>
    <t>Trestenberg 5</t>
  </si>
  <si>
    <t>Caroline</t>
  </si>
  <si>
    <t>pranke4@shinternet.ch</t>
  </si>
  <si>
    <t>ruetimann@industriespritzwerk-ag.ch</t>
  </si>
  <si>
    <t>Nr.</t>
  </si>
  <si>
    <t>Name / Vorname:</t>
  </si>
  <si>
    <t>Geburtsdatum:</t>
  </si>
  <si>
    <t>Adresse:</t>
  </si>
  <si>
    <t>PLZ / Ort:</t>
  </si>
  <si>
    <t>Waffenart:</t>
  </si>
  <si>
    <t>eMail:</t>
  </si>
  <si>
    <t>Telefon P:</t>
  </si>
  <si>
    <t>Telefon G:</t>
  </si>
  <si>
    <t>Übungskehr</t>
  </si>
  <si>
    <t>Verein</t>
  </si>
  <si>
    <t>Auszahlung</t>
  </si>
  <si>
    <t>Serie</t>
  </si>
  <si>
    <t>Kranz</t>
  </si>
  <si>
    <t>Ehrengaben</t>
  </si>
  <si>
    <t>Veteranen</t>
  </si>
  <si>
    <t>Nachdoppel</t>
  </si>
  <si>
    <t>Meisterschaft in
2-Stellungen</t>
  </si>
  <si>
    <t>Liegend-
Meisterschaft</t>
  </si>
  <si>
    <t>Gruppenwettkampf</t>
  </si>
  <si>
    <t>Anzahl</t>
  </si>
  <si>
    <t>Preis</t>
  </si>
  <si>
    <t>Schiessprogramm</t>
  </si>
  <si>
    <t>Auszeichnung</t>
  </si>
  <si>
    <t>5 Einzelschüsse</t>
  </si>
  <si>
    <t>Kranzauszeichnung</t>
  </si>
  <si>
    <t>Kranzauszeichnung + sofortige Barauszahlung</t>
  </si>
  <si>
    <t>Spezialgaben</t>
  </si>
  <si>
    <t>Stich-Nr.</t>
  </si>
  <si>
    <t>005</t>
  </si>
  <si>
    <t>010</t>
  </si>
  <si>
    <t xml:space="preserve">  ja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</si>
  <si>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</si>
  <si>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</si>
  <si>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</si>
  <si>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</si>
  <si>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</si>
  <si>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</si>
  <si>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</si>
  <si>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</si>
  <si>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</si>
  <si>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200</t>
  </si>
  <si>
    <t>210</t>
  </si>
  <si>
    <t>Lizenz-Nr.:</t>
  </si>
  <si>
    <t>6 Einzelschüsse</t>
  </si>
  <si>
    <t>6 Schüsse Serie</t>
  </si>
  <si>
    <t>Kranzauszeichnung + sofortige Abgabe Naturalgaben</t>
  </si>
  <si>
    <t>5 Einzelschüsse + 3 Schüsse Serie</t>
  </si>
  <si>
    <t>3 Einzelschüsse</t>
  </si>
  <si>
    <t>Sofortige Barauszahlung</t>
  </si>
  <si>
    <t>6 Einzelschüsse + 4 Schüsse Serie</t>
  </si>
  <si>
    <t>2 Einzelschüsse pro Passe</t>
  </si>
  <si>
    <t>5 Einzelschüsse pro Passe</t>
  </si>
  <si>
    <t>Spezialkranzauszeichnung</t>
  </si>
  <si>
    <t>Übernachtungen:</t>
  </si>
  <si>
    <t xml:space="preserve">      Fr/Sa</t>
  </si>
  <si>
    <t>Unterschrift:</t>
  </si>
  <si>
    <t>Gesamtbetrag (exkl. Vereinsstich)</t>
  </si>
  <si>
    <t xml:space="preserve"> </t>
  </si>
  <si>
    <t>n/a</t>
  </si>
  <si>
    <t>300</t>
  </si>
  <si>
    <t>60 Einzelschüsse in 6 Passen zu je
10 Einzelschüssen</t>
  </si>
  <si>
    <t>Lizenz-Nr. und Name hier wählen</t>
  </si>
  <si>
    <t>Breitlen 4</t>
  </si>
  <si>
    <t>078 603 46 06</t>
  </si>
  <si>
    <t>079 594 04 93</t>
  </si>
  <si>
    <t>077 459 15 05</t>
  </si>
  <si>
    <t>florian.david@gmx.ch</t>
  </si>
  <si>
    <t>Spezialkranzauszeichnung + Meisterschaftsmedaille</t>
  </si>
  <si>
    <t>paul.fiechter@icloud.com</t>
  </si>
  <si>
    <t>010 Verein</t>
  </si>
  <si>
    <t>079 238 23 67</t>
  </si>
  <si>
    <t>Anmeldeformular verteilt (2)</t>
  </si>
  <si>
    <t>nimmt nicht teil (0)</t>
  </si>
  <si>
    <t>abgemeldet (4)</t>
  </si>
  <si>
    <t>Anmeldung eingegangen (3)</t>
  </si>
  <si>
    <t>052 654 10 25</t>
  </si>
  <si>
    <t>Luca</t>
  </si>
  <si>
    <t>078 743 68 17</t>
  </si>
  <si>
    <t>caroline.waldvogel@outlook.com</t>
  </si>
  <si>
    <t>lucachristinger98@gmail.com</t>
  </si>
  <si>
    <t>Joachim</t>
  </si>
  <si>
    <t>joachim.priska@gmx.ch</t>
  </si>
  <si>
    <t>052 657 17 66</t>
  </si>
  <si>
    <t>Tel G/Mobil</t>
  </si>
  <si>
    <t>Grünaustrasse 2</t>
  </si>
  <si>
    <t>Anmeldeformular noch nicht (1)</t>
  </si>
  <si>
    <t>Waffenart hier wählen</t>
  </si>
  <si>
    <t>070 Kranz</t>
  </si>
  <si>
    <t>052 657 52 55</t>
  </si>
  <si>
    <t>joh.keller@shinternet.ch</t>
  </si>
  <si>
    <t>Flückiger</t>
  </si>
  <si>
    <t>Sandro</t>
  </si>
  <si>
    <t>079 298 62 84</t>
  </si>
  <si>
    <t>fluckiger2@gmail.com</t>
  </si>
  <si>
    <t>Oberedorfstr. 6</t>
  </si>
  <si>
    <t>Capuano</t>
  </si>
  <si>
    <t>Rocco</t>
  </si>
  <si>
    <t>Obstgartenstr. 7</t>
  </si>
  <si>
    <t>079 589 19 43</t>
  </si>
  <si>
    <t>rocco.capuano@gmx.ch</t>
  </si>
  <si>
    <t>nein</t>
  </si>
  <si>
    <t>Belzhalden</t>
  </si>
  <si>
    <t>Pfund</t>
  </si>
  <si>
    <t>Lettenackerweg 9</t>
  </si>
  <si>
    <t>Möckli</t>
  </si>
  <si>
    <t>Robin</t>
  </si>
  <si>
    <t>Güttinger</t>
  </si>
  <si>
    <t>Zelglistr. 15</t>
  </si>
  <si>
    <t>052 646 06 41</t>
  </si>
  <si>
    <t>Hasler</t>
  </si>
  <si>
    <t>Michél</t>
  </si>
  <si>
    <t>michel.hasler@bluewin.ch</t>
  </si>
  <si>
    <t>079 337 32 39</t>
  </si>
  <si>
    <t>Geissner</t>
  </si>
  <si>
    <t>Chiara</t>
  </si>
  <si>
    <t>079 961 91 10</t>
  </si>
  <si>
    <t>079 943 02 83</t>
  </si>
  <si>
    <t>300 Eröffnungssch.</t>
  </si>
  <si>
    <t>2 Probe, 30 Schüsse Serie in 4 Minuten am Schluss gezeigt</t>
  </si>
  <si>
    <t>Schmalfuss</t>
  </si>
  <si>
    <t>Steig 2</t>
  </si>
  <si>
    <t>Niklas</t>
  </si>
  <si>
    <t>Trestenberg 3</t>
  </si>
  <si>
    <t>079 195 20 83</t>
  </si>
  <si>
    <t>marcel.f.saetteli@bluewin.ch</t>
  </si>
  <si>
    <t>m.fehrle97@gmail.com</t>
  </si>
  <si>
    <t>Hauptstr. 56</t>
  </si>
  <si>
    <t>Islikon</t>
  </si>
  <si>
    <t>052 633 53 27</t>
  </si>
  <si>
    <t>andreas.pfund@eks.ch</t>
  </si>
  <si>
    <t>052 654 19 43</t>
  </si>
  <si>
    <t>Brühlstr. 8</t>
  </si>
  <si>
    <t>bmwschmidli@hotmail.com</t>
  </si>
  <si>
    <t>Tobias</t>
  </si>
  <si>
    <t>Steig 19</t>
  </si>
  <si>
    <t>120 Nachdoppel</t>
  </si>
  <si>
    <t>079 748 41 22</t>
  </si>
  <si>
    <t>niklas.moeckli@icloud.com</t>
  </si>
  <si>
    <t>078 723 54 60</t>
  </si>
  <si>
    <t>dominic.schmalfuss@bluewin.ch</t>
  </si>
  <si>
    <t>Maurer</t>
  </si>
  <si>
    <t>Trottenweg 6</t>
  </si>
  <si>
    <t>078 899 17 35</t>
  </si>
  <si>
    <t>maikmaurer@gmx.ch</t>
  </si>
  <si>
    <t>076 546 12 06</t>
  </si>
  <si>
    <t>h.moeckli@shinternet.ch</t>
  </si>
  <si>
    <t>Schlattingerstr. 4</t>
  </si>
  <si>
    <t>079 778 69 39</t>
  </si>
  <si>
    <t>078 906 83 02</t>
  </si>
  <si>
    <t>cgeissner@hotmail.com</t>
  </si>
  <si>
    <t>2 EZ von 14 Zi</t>
  </si>
  <si>
    <t>10 2er von 14 Zi</t>
  </si>
  <si>
    <t>2 3-4er von 14 Zi</t>
  </si>
  <si>
    <t>1 6er Zelt</t>
  </si>
  <si>
    <t>035</t>
  </si>
  <si>
    <t>4-Bett</t>
  </si>
  <si>
    <t>Wohnmobil</t>
  </si>
  <si>
    <t>079 306 02 67</t>
  </si>
  <si>
    <t>andywenger@bluewin.ch</t>
  </si>
  <si>
    <t>079 667 68 72</t>
  </si>
  <si>
    <t>Pereira</t>
  </si>
  <si>
    <t>carlos2003pereira@hotmailcom</t>
  </si>
  <si>
    <t>Schlattingerstr. 20</t>
  </si>
  <si>
    <t>078 906 80 46</t>
  </si>
  <si>
    <t>Basil</t>
  </si>
  <si>
    <t>077 412 28 89</t>
  </si>
  <si>
    <t>basil.moeckli@icloud.com</t>
  </si>
  <si>
    <t>Gupfen 5</t>
  </si>
  <si>
    <t>Fuchs</t>
  </si>
  <si>
    <t>Silvan</t>
  </si>
  <si>
    <t>Fallentor 9</t>
  </si>
  <si>
    <t>Militär</t>
  </si>
  <si>
    <t>Luzern</t>
  </si>
  <si>
    <t>120</t>
  </si>
  <si>
    <t>Gruppe</t>
  </si>
  <si>
    <t>8-Bett</t>
  </si>
  <si>
    <t>035 Gruppe</t>
  </si>
  <si>
    <t>Schulstrasse 17</t>
  </si>
  <si>
    <t>079 240 12 97</t>
  </si>
  <si>
    <t>076 466 13 02</t>
  </si>
  <si>
    <t>052 657 29 15</t>
  </si>
  <si>
    <t>maya.zahn@gmx.ch</t>
  </si>
  <si>
    <t xml:space="preserve">      Do/Fr</t>
  </si>
  <si>
    <t>Im Gratwohl 12</t>
  </si>
  <si>
    <t>Kunst (Gruppe)</t>
  </si>
  <si>
    <t>Griadounov</t>
  </si>
  <si>
    <t>Puurswis 1</t>
  </si>
  <si>
    <t>Grigori</t>
  </si>
  <si>
    <t>Mark</t>
  </si>
  <si>
    <t>Gouvinhas</t>
  </si>
  <si>
    <t>Obertor 8</t>
  </si>
  <si>
    <t>Sindre</t>
  </si>
  <si>
    <t>Bächi</t>
  </si>
  <si>
    <t>Schmiedgasse 36</t>
  </si>
  <si>
    <t>Schupfenzelgstr. 12</t>
  </si>
  <si>
    <t>Maik</t>
  </si>
  <si>
    <t>José Carlos</t>
  </si>
  <si>
    <t>Janis</t>
  </si>
  <si>
    <t>Oeler</t>
  </si>
  <si>
    <t>Baumschulweg 1</t>
  </si>
  <si>
    <t>Matteo</t>
  </si>
  <si>
    <t>Ziegeleiweg 6</t>
  </si>
  <si>
    <t>Damian</t>
  </si>
  <si>
    <t>Willisdorf</t>
  </si>
  <si>
    <t>003208</t>
  </si>
  <si>
    <t>002495</t>
  </si>
  <si>
    <t>002326</t>
  </si>
  <si>
    <t>Alpenstr. 17</t>
  </si>
  <si>
    <t>Dmitri</t>
  </si>
  <si>
    <t>076 392 32 10</t>
  </si>
  <si>
    <t>058 215 24 94</t>
  </si>
  <si>
    <t>076 520 48 23</t>
  </si>
  <si>
    <t>079 753 21 71</t>
  </si>
  <si>
    <t>Wanja</t>
  </si>
  <si>
    <t>090 Veteran</t>
  </si>
  <si>
    <t>Unterdorf 16</t>
  </si>
  <si>
    <t>020 Kunst (Gruppe)</t>
  </si>
  <si>
    <t>200 Liegend-Meist.</t>
  </si>
  <si>
    <t>Angst</t>
  </si>
  <si>
    <t>Nils</t>
  </si>
  <si>
    <t>007965</t>
  </si>
  <si>
    <t>Tegerbuch 2</t>
  </si>
  <si>
    <t>Jonas</t>
  </si>
  <si>
    <t>007967</t>
  </si>
  <si>
    <t>Gupfen 3</t>
  </si>
  <si>
    <t>Leonard</t>
  </si>
  <si>
    <t>011512</t>
  </si>
  <si>
    <t>Meuwly</t>
  </si>
  <si>
    <t>Gian</t>
  </si>
  <si>
    <t>011510</t>
  </si>
  <si>
    <t>Schmittweg 11</t>
  </si>
  <si>
    <t>004948</t>
  </si>
  <si>
    <t>Trottenrain 24</t>
  </si>
  <si>
    <t>Wiederkehr</t>
  </si>
  <si>
    <t>Remy</t>
  </si>
  <si>
    <t>011511</t>
  </si>
  <si>
    <t>Horbihof 408</t>
  </si>
  <si>
    <t>Check VVA</t>
  </si>
  <si>
    <t>Jubiläum 500 Jahre</t>
  </si>
  <si>
    <t>Nachwuchs</t>
  </si>
  <si>
    <t>vom Verein bez.</t>
  </si>
  <si>
    <t>4 Einzelschüsse</t>
  </si>
  <si>
    <t>Do/Fr</t>
  </si>
  <si>
    <t>dmitri.griadounov@outlook.com</t>
  </si>
  <si>
    <t>075 Jubiläum 500 Jahre</t>
  </si>
  <si>
    <t>100 Nachwuchs</t>
  </si>
  <si>
    <t>joel03.guettinger@gmail.com</t>
  </si>
  <si>
    <t>076 674 32 63</t>
  </si>
  <si>
    <t>Im Hirschensprung 3</t>
  </si>
  <si>
    <t>078 348 30 72</t>
  </si>
  <si>
    <t>damian.moeckli@bluewin.ch</t>
  </si>
  <si>
    <t>robin03.guettinger@gmail.com</t>
  </si>
  <si>
    <t>Gupfen 16</t>
  </si>
  <si>
    <t>Alexandra</t>
  </si>
  <si>
    <t>021651</t>
  </si>
  <si>
    <t>Im Föhret 7</t>
  </si>
  <si>
    <t>Bergdietikon</t>
  </si>
  <si>
    <t>079 177 85 58</t>
  </si>
  <si>
    <t>alexandra.geissner@gmail.com</t>
  </si>
  <si>
    <t>078 744 81 06</t>
  </si>
  <si>
    <t>ggriad@sunrise.ch</t>
  </si>
  <si>
    <t>Kantonalschützenfest Graubünden 2024</t>
  </si>
  <si>
    <t>Anmeldung und Stichbestellung Kantonalschützenfest Graubünden 2024</t>
  </si>
  <si>
    <t>Do–Sa, 27. - 29. Juni 2024</t>
  </si>
  <si>
    <t>Piz Bernina</t>
  </si>
  <si>
    <t>3 Einzelschüsse + 3 Schüsse Serie</t>
  </si>
  <si>
    <r>
      <t xml:space="preserve">Eröffnungsschiessen
</t>
    </r>
    <r>
      <rPr>
        <sz val="8"/>
        <color indexed="10"/>
        <rFont val="Arial"/>
        <family val="2"/>
      </rPr>
      <t>Samstag, 13. Juni 2024</t>
    </r>
  </si>
  <si>
    <t>Zimmertyp:</t>
  </si>
  <si>
    <t xml:space="preserve">      Einzelzimmer</t>
  </si>
  <si>
    <t xml:space="preserve">      3-/4-Bettzimmer mit</t>
  </si>
  <si>
    <r>
      <t xml:space="preserve">Anmeldung bis 31. Oktober 2023 </t>
    </r>
    <r>
      <rPr>
        <sz val="10"/>
        <color indexed="10"/>
        <rFont val="Arial"/>
        <family val="2"/>
      </rPr>
      <t>an Urs Klingenfuss, Freier Platz 7, 8200 Schaffhausen, uklingen@bluewin.ch</t>
    </r>
  </si>
  <si>
    <t>060 Piz Bernina</t>
  </si>
  <si>
    <t>Mario, Pfund, Nico</t>
  </si>
  <si>
    <t>Urs K.</t>
  </si>
  <si>
    <t>Pfund, Nico, Stefan B.</t>
  </si>
  <si>
    <t>Nico, Mario, Stefan B.</t>
  </si>
  <si>
    <t>Grischa</t>
  </si>
  <si>
    <t>Mario, Stefan B., Pfund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</si>
</sst>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SFr.&quot;\ * #,##0.00_ ;_ &quot;SFr.&quot;\ * \-#,##0.00_ ;_ &quot;SFr.&quot;\ * &quot;-&quot;??_ ;_ @_ "/>
    <numFmt numFmtId="165" formatCode="yyyy;;"/>
    <numFmt numFmtId="166" formatCode="0;;"/>
    <numFmt numFmtId="171" formatCode="General;General;"/>
    <numFmt numFmtId="174" formatCode="dd/mm/yyyy;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u/>
      <sz val="9"/>
      <color theme="0" tint="-0.34998626667073579"/>
      <name val="Arial"/>
      <family val="2"/>
    </font>
    <font>
      <b/>
      <sz val="10"/>
      <color rgb="FFFF0000"/>
      <name val="Arial"/>
      <family val="2"/>
    </font>
    <font>
      <sz val="10"/>
      <color rgb="FF9C65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/>
    <xf numFmtId="0" fontId="9" fillId="0" borderId="0"/>
    <xf numFmtId="0" fontId="6" fillId="0" borderId="0">
      <alignment wrapText="1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2" fillId="0" borderId="0"/>
  </cellStyleXfs>
  <cellXfs count="249">
    <xf numFmtId="0" fontId="0" fillId="0" borderId="0" xfId="0"/>
    <xf numFmtId="14" fontId="0" fillId="0" borderId="0" xfId="0" applyNumberFormat="1"/>
    <xf numFmtId="0" fontId="3" fillId="2" borderId="0" xfId="0" applyFont="1" applyFill="1"/>
    <xf numFmtId="49" fontId="3" fillId="2" borderId="0" xfId="0" applyNumberFormat="1" applyFont="1" applyFill="1"/>
    <xf numFmtId="49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3" fillId="4" borderId="4" xfId="0" applyFont="1" applyFill="1" applyBorder="1" applyAlignment="1">
      <alignment horizontal="right" textRotation="90"/>
    </xf>
    <xf numFmtId="0" fontId="3" fillId="4" borderId="4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 textRotation="90"/>
    </xf>
    <xf numFmtId="0" fontId="3" fillId="5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166" fontId="0" fillId="0" borderId="0" xfId="0" applyNumberFormat="1" applyFill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0" xfId="0" applyFont="1" applyBorder="1"/>
    <xf numFmtId="0" fontId="3" fillId="0" borderId="0" xfId="0" applyFont="1"/>
    <xf numFmtId="166" fontId="3" fillId="6" borderId="4" xfId="0" applyNumberFormat="1" applyFont="1" applyFill="1" applyBorder="1" applyAlignment="1">
      <alignment horizontal="right" textRotation="90"/>
    </xf>
    <xf numFmtId="165" fontId="0" fillId="0" borderId="0" xfId="0" applyNumberFormat="1" applyAlignment="1">
      <alignment horizontal="right"/>
    </xf>
    <xf numFmtId="0" fontId="0" fillId="0" borderId="0" xfId="0" applyNumberFormat="1"/>
    <xf numFmtId="0" fontId="8" fillId="0" borderId="0" xfId="0" applyFont="1"/>
    <xf numFmtId="14" fontId="8" fillId="0" borderId="0" xfId="0" applyNumberFormat="1" applyFont="1"/>
    <xf numFmtId="166" fontId="3" fillId="0" borderId="11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49" fontId="6" fillId="0" borderId="0" xfId="0" applyNumberFormat="1" applyFont="1"/>
    <xf numFmtId="166" fontId="0" fillId="0" borderId="12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10" xfId="0" applyBorder="1"/>
    <xf numFmtId="14" fontId="0" fillId="0" borderId="0" xfId="0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15" fillId="0" borderId="0" xfId="1" applyFill="1" applyAlignment="1" applyProtection="1"/>
    <xf numFmtId="0" fontId="0" fillId="0" borderId="0" xfId="0" applyFill="1" applyAlignment="1">
      <alignment horizontal="center"/>
    </xf>
    <xf numFmtId="0" fontId="6" fillId="0" borderId="0" xfId="0" applyFont="1" applyFill="1" applyBorder="1"/>
    <xf numFmtId="165" fontId="0" fillId="0" borderId="0" xfId="0" applyNumberFormat="1" applyFill="1" applyAlignment="1">
      <alignment horizontal="right"/>
    </xf>
    <xf numFmtId="0" fontId="0" fillId="0" borderId="0" xfId="0" applyFont="1" applyFill="1"/>
    <xf numFmtId="14" fontId="6" fillId="0" borderId="0" xfId="0" applyNumberFormat="1" applyFont="1" applyFill="1"/>
    <xf numFmtId="0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/>
    </xf>
    <xf numFmtId="0" fontId="3" fillId="10" borderId="0" xfId="0" applyFont="1" applyFill="1"/>
    <xf numFmtId="0" fontId="0" fillId="0" borderId="9" xfId="0" applyFill="1" applyBorder="1"/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6" fillId="0" borderId="9" xfId="0" applyFont="1" applyFill="1" applyBorder="1"/>
    <xf numFmtId="166" fontId="0" fillId="0" borderId="9" xfId="0" applyNumberFormat="1" applyFill="1" applyBorder="1" applyAlignment="1">
      <alignment horizontal="right"/>
    </xf>
    <xf numFmtId="14" fontId="0" fillId="0" borderId="7" xfId="0" applyNumberFormat="1" applyFill="1" applyBorder="1"/>
    <xf numFmtId="0" fontId="0" fillId="0" borderId="7" xfId="0" applyNumberFormat="1" applyFill="1" applyBorder="1"/>
    <xf numFmtId="165" fontId="0" fillId="0" borderId="7" xfId="0" applyNumberFormat="1" applyFill="1" applyBorder="1" applyAlignment="1">
      <alignment horizontal="right"/>
    </xf>
    <xf numFmtId="166" fontId="3" fillId="0" borderId="9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/>
    <xf numFmtId="0" fontId="0" fillId="0" borderId="14" xfId="0" applyBorder="1" applyAlignment="1"/>
    <xf numFmtId="0" fontId="6" fillId="0" borderId="1" xfId="0" applyFont="1" applyFill="1" applyBorder="1"/>
    <xf numFmtId="0" fontId="3" fillId="0" borderId="15" xfId="0" applyFont="1" applyFill="1" applyBorder="1"/>
    <xf numFmtId="0" fontId="3" fillId="0" borderId="15" xfId="0" applyFont="1" applyFill="1" applyBorder="1" applyAlignment="1">
      <alignment wrapText="1"/>
    </xf>
    <xf numFmtId="0" fontId="6" fillId="0" borderId="16" xfId="0" quotePrefix="1" applyFont="1" applyBorder="1" applyAlignment="1">
      <alignment horizontal="center"/>
    </xf>
    <xf numFmtId="0" fontId="3" fillId="0" borderId="17" xfId="0" applyFont="1" applyBorder="1"/>
    <xf numFmtId="0" fontId="6" fillId="0" borderId="18" xfId="0" quotePrefix="1" applyFont="1" applyBorder="1" applyAlignment="1">
      <alignment horizontal="center"/>
    </xf>
    <xf numFmtId="0" fontId="3" fillId="11" borderId="19" xfId="0" applyFont="1" applyFill="1" applyBorder="1"/>
    <xf numFmtId="0" fontId="3" fillId="11" borderId="20" xfId="0" applyFont="1" applyFill="1" applyBorder="1"/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/>
    <xf numFmtId="0" fontId="3" fillId="5" borderId="21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166" fontId="3" fillId="6" borderId="0" xfId="0" applyNumberFormat="1" applyFont="1" applyFill="1" applyBorder="1" applyAlignment="1">
      <alignment horizontal="right" textRotation="90"/>
    </xf>
    <xf numFmtId="166" fontId="3" fillId="6" borderId="22" xfId="0" applyNumberFormat="1" applyFont="1" applyFill="1" applyBorder="1" applyAlignment="1">
      <alignment horizontal="right" textRotation="90"/>
    </xf>
    <xf numFmtId="0" fontId="3" fillId="6" borderId="0" xfId="0" applyFont="1" applyFill="1" applyBorder="1" applyAlignment="1">
      <alignment horizontal="right" textRotation="90"/>
    </xf>
    <xf numFmtId="0" fontId="3" fillId="6" borderId="21" xfId="0" applyFont="1" applyFill="1" applyBorder="1" applyAlignment="1">
      <alignment horizontal="right" textRotation="90"/>
    </xf>
    <xf numFmtId="0" fontId="3" fillId="6" borderId="22" xfId="0" applyFont="1" applyFill="1" applyBorder="1" applyAlignment="1">
      <alignment horizontal="right" textRotation="9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49" fontId="6" fillId="12" borderId="10" xfId="0" applyNumberFormat="1" applyFont="1" applyFill="1" applyBorder="1"/>
    <xf numFmtId="49" fontId="6" fillId="12" borderId="0" xfId="0" applyNumberFormat="1" applyFont="1" applyFill="1"/>
    <xf numFmtId="0" fontId="0" fillId="12" borderId="2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49" fontId="6" fillId="13" borderId="10" xfId="0" applyNumberFormat="1" applyFont="1" applyFill="1" applyBorder="1"/>
    <xf numFmtId="49" fontId="6" fillId="13" borderId="0" xfId="0" applyNumberFormat="1" applyFont="1" applyFill="1"/>
    <xf numFmtId="0" fontId="0" fillId="13" borderId="22" xfId="0" applyFill="1" applyBorder="1" applyAlignment="1">
      <alignment horizontal="center"/>
    </xf>
    <xf numFmtId="0" fontId="0" fillId="14" borderId="21" xfId="0" applyFill="1" applyBorder="1"/>
    <xf numFmtId="0" fontId="0" fillId="14" borderId="1" xfId="0" applyFill="1" applyBorder="1"/>
    <xf numFmtId="0" fontId="6" fillId="14" borderId="1" xfId="0" applyFont="1" applyFill="1" applyBorder="1"/>
    <xf numFmtId="0" fontId="0" fillId="14" borderId="21" xfId="0" applyFill="1" applyBorder="1" applyAlignment="1"/>
    <xf numFmtId="0" fontId="0" fillId="14" borderId="22" xfId="0" applyFill="1" applyBorder="1" applyAlignment="1"/>
    <xf numFmtId="0" fontId="0" fillId="14" borderId="1" xfId="0" applyFill="1" applyBorder="1" applyAlignment="1"/>
    <xf numFmtId="0" fontId="0" fillId="14" borderId="12" xfId="0" applyFill="1" applyBorder="1" applyAlignment="1"/>
    <xf numFmtId="0" fontId="0" fillId="0" borderId="0" xfId="0" applyAlignment="1" applyProtection="1">
      <alignment horizontal="left"/>
      <protection locked="0"/>
    </xf>
    <xf numFmtId="0" fontId="3" fillId="0" borderId="24" xfId="0" applyFont="1" applyFill="1" applyBorder="1"/>
    <xf numFmtId="0" fontId="6" fillId="0" borderId="25" xfId="0" applyFont="1" applyBorder="1" applyAlignment="1">
      <alignment horizontal="left"/>
    </xf>
    <xf numFmtId="0" fontId="0" fillId="0" borderId="25" xfId="0" applyBorder="1"/>
    <xf numFmtId="0" fontId="3" fillId="0" borderId="26" xfId="0" applyFont="1" applyFill="1" applyBorder="1"/>
    <xf numFmtId="0" fontId="6" fillId="0" borderId="27" xfId="0" applyFont="1" applyBorder="1" applyAlignment="1">
      <alignment horizontal="left"/>
    </xf>
    <xf numFmtId="0" fontId="0" fillId="0" borderId="27" xfId="0" applyBorder="1"/>
    <xf numFmtId="0" fontId="6" fillId="0" borderId="27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164" fontId="6" fillId="0" borderId="29" xfId="5" quotePrefix="1" applyFont="1" applyFill="1" applyBorder="1" applyAlignment="1"/>
    <xf numFmtId="164" fontId="14" fillId="0" borderId="27" xfId="5" applyFont="1" applyFill="1" applyBorder="1" applyAlignment="1"/>
    <xf numFmtId="0" fontId="6" fillId="0" borderId="3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3" fillId="16" borderId="4" xfId="0" applyFont="1" applyFill="1" applyBorder="1" applyAlignment="1">
      <alignment horizontal="right" textRotation="90"/>
    </xf>
    <xf numFmtId="0" fontId="16" fillId="0" borderId="0" xfId="2" applyFill="1"/>
    <xf numFmtId="0" fontId="3" fillId="16" borderId="23" xfId="0" applyFont="1" applyFill="1" applyBorder="1" applyAlignment="1">
      <alignment horizontal="right"/>
    </xf>
    <xf numFmtId="0" fontId="15" fillId="0" borderId="7" xfId="1" applyFill="1" applyBorder="1" applyAlignment="1" applyProtection="1"/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17" fillId="0" borderId="12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right"/>
    </xf>
    <xf numFmtId="166" fontId="18" fillId="0" borderId="12" xfId="0" applyNumberFormat="1" applyFont="1" applyFill="1" applyBorder="1" applyAlignment="1">
      <alignment horizontal="right"/>
    </xf>
    <xf numFmtId="0" fontId="17" fillId="0" borderId="0" xfId="0" applyFont="1"/>
    <xf numFmtId="0" fontId="0" fillId="0" borderId="3" xfId="0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3" fillId="4" borderId="31" xfId="0" applyFont="1" applyFill="1" applyBorder="1" applyAlignment="1"/>
    <xf numFmtId="0" fontId="6" fillId="0" borderId="0" xfId="0" applyFont="1" applyFill="1" applyAlignment="1">
      <alignment wrapText="1"/>
    </xf>
    <xf numFmtId="14" fontId="6" fillId="17" borderId="0" xfId="0" applyNumberFormat="1" applyFont="1" applyFill="1"/>
    <xf numFmtId="0" fontId="19" fillId="0" borderId="0" xfId="0" applyFont="1" applyFill="1" applyAlignment="1">
      <alignment horizontal="right"/>
    </xf>
    <xf numFmtId="0" fontId="19" fillId="0" borderId="8" xfId="0" applyFont="1" applyFill="1" applyBorder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14" fontId="20" fillId="0" borderId="0" xfId="0" applyNumberFormat="1" applyFont="1" applyFill="1"/>
    <xf numFmtId="0" fontId="20" fillId="0" borderId="0" xfId="0" applyNumberFormat="1" applyFont="1" applyFill="1"/>
    <xf numFmtId="0" fontId="20" fillId="0" borderId="0" xfId="0" applyNumberFormat="1" applyFont="1" applyFill="1" applyAlignment="1">
      <alignment horizontal="right"/>
    </xf>
    <xf numFmtId="0" fontId="21" fillId="0" borderId="0" xfId="1" applyFont="1" applyFill="1" applyAlignment="1" applyProtection="1"/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wrapText="1"/>
    </xf>
    <xf numFmtId="0" fontId="6" fillId="0" borderId="0" xfId="0" quotePrefix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23" fillId="0" borderId="0" xfId="2" applyFont="1" applyFill="1"/>
    <xf numFmtId="0" fontId="3" fillId="2" borderId="23" xfId="0" applyFont="1" applyFill="1" applyBorder="1" applyAlignment="1"/>
    <xf numFmtId="0" fontId="3" fillId="2" borderId="34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15" borderId="0" xfId="0" applyFont="1" applyFill="1" applyBorder="1" applyAlignment="1"/>
    <xf numFmtId="0" fontId="6" fillId="18" borderId="8" xfId="0" applyFont="1" applyFill="1" applyBorder="1" applyAlignment="1">
      <alignment horizontal="right"/>
    </xf>
    <xf numFmtId="0" fontId="6" fillId="9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/>
    <xf numFmtId="0" fontId="0" fillId="14" borderId="49" xfId="0" applyFill="1" applyBorder="1" applyAlignment="1"/>
    <xf numFmtId="0" fontId="0" fillId="14" borderId="33" xfId="0" applyFill="1" applyBorder="1" applyAlignment="1"/>
    <xf numFmtId="0" fontId="2" fillId="0" borderId="0" xfId="0" applyFont="1" applyFill="1" applyBorder="1"/>
    <xf numFmtId="0" fontId="2" fillId="0" borderId="16" xfId="0" quotePrefix="1" applyFont="1" applyBorder="1" applyAlignment="1">
      <alignment horizontal="center"/>
    </xf>
    <xf numFmtId="0" fontId="2" fillId="0" borderId="1" xfId="0" applyFont="1" applyFill="1" applyBorder="1"/>
    <xf numFmtId="0" fontId="2" fillId="18" borderId="8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6" fillId="15" borderId="1" xfId="0" applyFont="1" applyFill="1" applyBorder="1" applyAlignment="1">
      <alignment horizontal="right"/>
    </xf>
    <xf numFmtId="0" fontId="2" fillId="14" borderId="1" xfId="0" applyFont="1" applyFill="1" applyBorder="1"/>
    <xf numFmtId="0" fontId="2" fillId="15" borderId="8" xfId="0" applyFont="1" applyFill="1" applyBorder="1" applyAlignment="1">
      <alignment horizontal="right"/>
    </xf>
    <xf numFmtId="0" fontId="6" fillId="15" borderId="0" xfId="0" applyFont="1" applyFill="1" applyAlignment="1">
      <alignment horizontal="right"/>
    </xf>
    <xf numFmtId="0" fontId="3" fillId="2" borderId="4" xfId="0" applyNumberFormat="1" applyFont="1" applyFill="1" applyBorder="1" applyAlignment="1"/>
    <xf numFmtId="0" fontId="3" fillId="2" borderId="23" xfId="0" applyFont="1" applyFill="1" applyBorder="1" applyAlignment="1"/>
    <xf numFmtId="0" fontId="3" fillId="2" borderId="34" xfId="0" applyFont="1" applyFill="1" applyBorder="1" applyAlignment="1"/>
    <xf numFmtId="0" fontId="3" fillId="2" borderId="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right" textRotation="90"/>
    </xf>
    <xf numFmtId="0" fontId="3" fillId="4" borderId="9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3" fillId="11" borderId="36" xfId="0" applyFont="1" applyFill="1" applyBorder="1" applyAlignment="1"/>
    <xf numFmtId="0" fontId="3" fillId="11" borderId="37" xfId="0" applyFont="1" applyFill="1" applyBorder="1" applyAlignment="1"/>
    <xf numFmtId="0" fontId="3" fillId="11" borderId="9" xfId="0" applyFont="1" applyFill="1" applyBorder="1" applyAlignment="1"/>
    <xf numFmtId="0" fontId="3" fillId="11" borderId="32" xfId="0" applyFont="1" applyFill="1" applyBorder="1" applyAlignment="1"/>
    <xf numFmtId="164" fontId="0" fillId="0" borderId="38" xfId="5" applyFont="1" applyBorder="1" applyAlignment="1"/>
    <xf numFmtId="164" fontId="0" fillId="0" borderId="39" xfId="5" applyFont="1" applyBorder="1" applyAlignment="1"/>
    <xf numFmtId="0" fontId="6" fillId="0" borderId="18" xfId="0" applyFont="1" applyBorder="1" applyAlignment="1"/>
    <xf numFmtId="0" fontId="0" fillId="0" borderId="18" xfId="0" applyBorder="1" applyAlignment="1"/>
    <xf numFmtId="0" fontId="0" fillId="0" borderId="40" xfId="0" applyBorder="1" applyAlignment="1"/>
    <xf numFmtId="171" fontId="0" fillId="0" borderId="35" xfId="0" applyNumberFormat="1" applyBorder="1" applyAlignment="1" applyProtection="1">
      <alignment horizontal="left"/>
      <protection locked="0" hidden="1"/>
    </xf>
    <xf numFmtId="171" fontId="0" fillId="0" borderId="35" xfId="0" applyNumberFormat="1" applyBorder="1" applyAlignment="1" applyProtection="1">
      <protection locked="0" hidden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4" fontId="0" fillId="0" borderId="35" xfId="0" applyNumberFormat="1" applyBorder="1" applyAlignment="1" applyProtection="1">
      <alignment horizontal="left"/>
      <protection locked="0" hidden="1"/>
    </xf>
    <xf numFmtId="164" fontId="0" fillId="0" borderId="41" xfId="5" applyFont="1" applyBorder="1" applyAlignment="1"/>
    <xf numFmtId="164" fontId="0" fillId="0" borderId="42" xfId="5" applyFont="1" applyBorder="1" applyAlignment="1"/>
    <xf numFmtId="164" fontId="7" fillId="0" borderId="41" xfId="5" quotePrefix="1" applyFont="1" applyBorder="1" applyAlignment="1"/>
    <xf numFmtId="164" fontId="7" fillId="0" borderId="42" xfId="5" applyFont="1" applyBorder="1" applyAlignment="1"/>
    <xf numFmtId="0" fontId="2" fillId="0" borderId="18" xfId="0" applyFont="1" applyBorder="1" applyAlignment="1"/>
    <xf numFmtId="0" fontId="6" fillId="0" borderId="18" xfId="0" applyFont="1" applyBorder="1" applyAlignment="1">
      <alignment wrapText="1"/>
    </xf>
    <xf numFmtId="164" fontId="6" fillId="0" borderId="43" xfId="5" quotePrefix="1" applyFont="1" applyFill="1" applyBorder="1" applyAlignment="1"/>
    <xf numFmtId="164" fontId="14" fillId="0" borderId="44" xfId="5" applyFont="1" applyFill="1" applyBorder="1" applyAlignment="1"/>
    <xf numFmtId="0" fontId="6" fillId="0" borderId="25" xfId="0" applyFont="1" applyBorder="1" applyAlignment="1"/>
    <xf numFmtId="0" fontId="0" fillId="0" borderId="25" xfId="0" applyBorder="1" applyAlignment="1"/>
    <xf numFmtId="0" fontId="0" fillId="0" borderId="45" xfId="0" applyBorder="1" applyAlignment="1"/>
    <xf numFmtId="0" fontId="22" fillId="0" borderId="0" xfId="0" applyFont="1" applyAlignment="1"/>
    <xf numFmtId="0" fontId="0" fillId="0" borderId="35" xfId="0" applyBorder="1" applyAlignment="1" applyProtection="1">
      <protection locked="0" hidden="1"/>
    </xf>
    <xf numFmtId="0" fontId="3" fillId="0" borderId="13" xfId="0" applyFont="1" applyFill="1" applyBorder="1" applyAlignment="1"/>
    <xf numFmtId="0" fontId="3" fillId="0" borderId="46" xfId="0" applyFont="1" applyFill="1" applyBorder="1" applyAlignment="1"/>
    <xf numFmtId="0" fontId="3" fillId="0" borderId="47" xfId="0" applyFont="1" applyFill="1" applyBorder="1" applyAlignment="1"/>
    <xf numFmtId="164" fontId="0" fillId="0" borderId="48" xfId="5" applyFont="1" applyBorder="1" applyAlignment="1" applyProtection="1">
      <protection hidden="1"/>
    </xf>
    <xf numFmtId="164" fontId="0" fillId="0" borderId="14" xfId="5" applyFont="1" applyBorder="1" applyAlignment="1" applyProtection="1">
      <protection hidden="1"/>
    </xf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2" fillId="0" borderId="35" xfId="0" applyFont="1" applyBorder="1" applyProtection="1">
      <protection locked="0"/>
    </xf>
    <xf numFmtId="0" fontId="2" fillId="0" borderId="35" xfId="0" applyFont="1" applyBorder="1" applyAlignment="1" applyProtection="1">
      <alignment horizontal="left"/>
      <protection locked="0"/>
    </xf>
  </cellXfs>
  <cellStyles count="9">
    <cellStyle name="Link" xfId="1" builtinId="8"/>
    <cellStyle name="Neutral" xfId="2" builtinId="28"/>
    <cellStyle name="Standard" xfId="0" builtinId="0"/>
    <cellStyle name="Standard 2" xfId="3" xr:uid="{00000000-0005-0000-0000-000006000000}"/>
    <cellStyle name="Standard 3" xfId="4" xr:uid="{00000000-0005-0000-0000-000007000000}"/>
    <cellStyle name="Standard 4" xfId="7" xr:uid="{00000000-0005-0000-0000-000008000000}"/>
    <cellStyle name="Standard 5" xfId="8" xr:uid="{00000000-0005-0000-0000-000009000000}"/>
    <cellStyle name="Währung" xfId="5" builtinId="4"/>
    <cellStyle name="Währung 2" xfId="6" xr:uid="{00000000-0005-0000-0000-00000B000000}"/>
  </cellStyles>
  <dxfs count="189"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$A$1" fmlaRange="Daten!$E$5:$P$73" noThreeD="1" sel="1" val="0"/>
</file>

<file path=xl/ctrlProps/ctrlProp2.xml><?xml version="1.0" encoding="utf-8"?>
<formControlPr xmlns="http://schemas.microsoft.com/office/spreadsheetml/2009/9/main" objectType="Radio" firstButton="1" fmlaLink="$C$3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7" dropStyle="combo" dx="22" fmlaLink="$A$2" fmlaRange="Auswahl!$A$1:$A$7" noThreeD="1" sel="1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64513" name="Drop Dow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3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295275</xdr:colOff>
          <xdr:row>29</xdr:row>
          <xdr:rowOff>9525</xdr:rowOff>
        </xdr:from>
        <xdr:to>
          <xdr:col>1</xdr:col>
          <xdr:colOff>600075</xdr:colOff>
          <xdr:row>31</xdr:row>
          <xdr:rowOff>19050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3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295275</xdr:colOff>
          <xdr:row>29</xdr:row>
          <xdr:rowOff>9525</xdr:rowOff>
        </xdr:from>
        <xdr:to>
          <xdr:col>2</xdr:col>
          <xdr:colOff>600075</xdr:colOff>
          <xdr:row>31</xdr:row>
          <xdr:rowOff>19050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3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64517" name="Drop Down 5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00000000-0008-0000-0300-00000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133350</xdr:rowOff>
        </xdr:from>
        <xdr:to>
          <xdr:col>3</xdr:col>
          <xdr:colOff>304800</xdr:colOff>
          <xdr:row>35</xdr:row>
          <xdr:rowOff>0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0300-00000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34</xdr:row>
          <xdr:rowOff>133350</xdr:rowOff>
        </xdr:from>
        <xdr:to>
          <xdr:col>3</xdr:col>
          <xdr:colOff>304800</xdr:colOff>
          <xdr:row>35</xdr:row>
          <xdr:rowOff>0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  <a:ext uri="{FF2B5EF4-FFF2-40B4-BE49-F238E27FC236}">
                  <a16:creationId xmlns:a16="http://schemas.microsoft.com/office/drawing/2014/main" id="{00000000-0008-0000-0300-00001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395550</xdr:colOff>
      <xdr:row>3</xdr:row>
      <xdr:rowOff>67200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0" y="0"/>
          <a:ext cx="1710000" cy="6768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676800</xdr:colOff>
      <xdr:row>3</xdr:row>
      <xdr:rowOff>67200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800" cy="676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1314450</xdr:colOff>
          <xdr:row>34</xdr:row>
          <xdr:rowOff>133350</xdr:rowOff>
        </xdr:from>
        <xdr:to>
          <xdr:col>1</xdr:col>
          <xdr:colOff>304800</xdr:colOff>
          <xdr:row>35</xdr:row>
          <xdr:rowOff>0</xdr:rowOff>
        </xdr:to>
        <xdr:sp macro="" textlink="">
          <xdr:nvSpPr>
            <xdr:cNvPr id="64552" name="Check Box 40" hidden="1">
              <a:extLst>
                <a:ext uri="{63B3BB69-23CF-44E3-9099-C40C66FF867C}">
                  <a14:compatExt spid="_x0000_s64552"/>
                </a:ext>
                <a:ext uri="{FF2B5EF4-FFF2-40B4-BE49-F238E27FC236}">
                  <a16:creationId xmlns:a16="http://schemas.microsoft.com/office/drawing/2014/main" id="{00000000-0008-0000-0300-00002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1314450</xdr:colOff>
          <xdr:row>32</xdr:row>
          <xdr:rowOff>133350</xdr:rowOff>
        </xdr:from>
        <xdr:to>
          <xdr:col>1</xdr:col>
          <xdr:colOff>304800</xdr:colOff>
          <xdr:row>33</xdr:row>
          <xdr:rowOff>0</xdr:rowOff>
        </xdr:to>
        <xdr:sp macro="" textlink="">
          <xdr:nvSpPr>
            <xdr:cNvPr id="64553" name="Check Box 41" hidden="1">
              <a:extLst>
                <a:ext uri="{63B3BB69-23CF-44E3-9099-C40C66FF867C}">
                  <a14:compatExt spid="_x0000_s64553"/>
                </a:ext>
                <a:ext uri="{FF2B5EF4-FFF2-40B4-BE49-F238E27FC236}">
                  <a16:creationId xmlns:a16="http://schemas.microsoft.com/office/drawing/2014/main" id="{00000000-0008-0000-0300-00002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123825</xdr:rowOff>
        </xdr:from>
        <xdr:to>
          <xdr:col>3</xdr:col>
          <xdr:colOff>304800</xdr:colOff>
          <xdr:row>33</xdr:row>
          <xdr:rowOff>0</xdr:rowOff>
        </xdr:to>
        <xdr:sp macro="" textlink="">
          <xdr:nvSpPr>
            <xdr:cNvPr id="64554" name="Check Box 42" hidden="1">
              <a:extLst>
                <a:ext uri="{63B3BB69-23CF-44E3-9099-C40C66FF867C}">
                  <a14:compatExt spid="_x0000_s64554"/>
                </a:ext>
                <a:ext uri="{FF2B5EF4-FFF2-40B4-BE49-F238E27FC236}">
                  <a16:creationId xmlns:a16="http://schemas.microsoft.com/office/drawing/2014/main" id="{00000000-0008-0000-0300-00002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ico.senn@gmx.ch" TargetMode="External"/><Relationship Id="rId13" Type="http://schemas.openxmlformats.org/officeDocument/2006/relationships/hyperlink" Target="mailto:alice_lang@hotmail.com" TargetMode="External"/><Relationship Id="rId18" Type="http://schemas.openxmlformats.org/officeDocument/2006/relationships/hyperlink" Target="mailto:andywenger@bluewin.ch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buergi.k@bluewin.ch" TargetMode="External"/><Relationship Id="rId21" Type="http://schemas.openxmlformats.org/officeDocument/2006/relationships/hyperlink" Target="mailto:joel03.guettinger@gmail.com" TargetMode="External"/><Relationship Id="rId7" Type="http://schemas.openxmlformats.org/officeDocument/2006/relationships/hyperlink" Target="mailto:mario_breitler@gmx.ch" TargetMode="External"/><Relationship Id="rId12" Type="http://schemas.openxmlformats.org/officeDocument/2006/relationships/hyperlink" Target="mailto:ollo.schmid@gmx.ch" TargetMode="External"/><Relationship Id="rId17" Type="http://schemas.openxmlformats.org/officeDocument/2006/relationships/hyperlink" Target="mailto:basil.moeckli@icloud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roeder@shinternet.ch" TargetMode="External"/><Relationship Id="rId16" Type="http://schemas.openxmlformats.org/officeDocument/2006/relationships/hyperlink" Target="mailto:ruetimann@industriespritzwerk-ag.ch" TargetMode="External"/><Relationship Id="rId20" Type="http://schemas.openxmlformats.org/officeDocument/2006/relationships/hyperlink" Target="mailto:ggriad@sunrise.ch" TargetMode="External"/><Relationship Id="rId1" Type="http://schemas.openxmlformats.org/officeDocument/2006/relationships/hyperlink" Target="mailto:mirror.polish@bluewin.ch" TargetMode="External"/><Relationship Id="rId6" Type="http://schemas.openxmlformats.org/officeDocument/2006/relationships/hyperlink" Target="mailto:greengregor@gmx.ch" TargetMode="External"/><Relationship Id="rId11" Type="http://schemas.openxmlformats.org/officeDocument/2006/relationships/hyperlink" Target="mailto:uklingen@bluewin.ch" TargetMode="External"/><Relationship Id="rId24" Type="http://schemas.openxmlformats.org/officeDocument/2006/relationships/hyperlink" Target="mailto:alexandra.geissner@gmail.com" TargetMode="External"/><Relationship Id="rId5" Type="http://schemas.openxmlformats.org/officeDocument/2006/relationships/hyperlink" Target="mailto:joerg.breitler@tg.ch" TargetMode="External"/><Relationship Id="rId15" Type="http://schemas.openxmlformats.org/officeDocument/2006/relationships/hyperlink" Target="mailto:maya.zahn@gmx.ch" TargetMode="External"/><Relationship Id="rId23" Type="http://schemas.openxmlformats.org/officeDocument/2006/relationships/hyperlink" Target="mailto:robin03.guettinger@gmail.com" TargetMode="External"/><Relationship Id="rId10" Type="http://schemas.openxmlformats.org/officeDocument/2006/relationships/hyperlink" Target="mailto:dchristing92@bluewin.ch" TargetMode="External"/><Relationship Id="rId19" Type="http://schemas.openxmlformats.org/officeDocument/2006/relationships/hyperlink" Target="mailto:dmitri.griadounov@outlook.com" TargetMode="External"/><Relationship Id="rId4" Type="http://schemas.openxmlformats.org/officeDocument/2006/relationships/hyperlink" Target="mailto:urs.boelsterli@bluewin.ch" TargetMode="External"/><Relationship Id="rId9" Type="http://schemas.openxmlformats.org/officeDocument/2006/relationships/hyperlink" Target="mailto:pmat@bluewin.ch" TargetMode="External"/><Relationship Id="rId14" Type="http://schemas.openxmlformats.org/officeDocument/2006/relationships/hyperlink" Target="mailto:carlos2003pereira@hotmailcom" TargetMode="External"/><Relationship Id="rId22" Type="http://schemas.openxmlformats.org/officeDocument/2006/relationships/hyperlink" Target="mailto:damian.moeckli@bluewin.ch" TargetMode="Externa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L85"/>
  <sheetViews>
    <sheetView zoomScaleNormal="100" workbookViewId="0">
      <pane xSplit="10" ySplit="5" topLeftCell="K6" activePane="bottomRight" state="frozenSplit"/>
      <selection activeCell="B1" sqref="B1"/>
      <selection pane="topRight" activeCell="I1" sqref="I1"/>
      <selection pane="bottomLeft" activeCell="G22" sqref="G22"/>
      <selection pane="bottomRight" activeCell="B71" sqref="B71"/>
    </sheetView>
  </sheetViews>
  <sheetFormatPr baseColWidth="10" defaultRowHeight="12.75" outlineLevelRow="1" outlineLevelCol="3" x14ac:dyDescent="0.2"/>
  <cols>
    <col min="1" max="1" width="6.140625" style="22" hidden="1" customWidth="1" outlineLevel="2"/>
    <col min="2" max="2" width="14.5703125" customWidth="1" collapsed="1"/>
    <col min="3" max="3" width="13.42578125" customWidth="1"/>
    <col min="4" max="4" width="20.5703125" hidden="1" customWidth="1" outlineLevel="2"/>
    <col min="5" max="5" width="28" hidden="1" customWidth="1" outlineLevel="2"/>
    <col min="6" max="6" width="28.85546875" hidden="1" customWidth="1" outlineLevel="3"/>
    <col min="7" max="7" width="9.7109375" style="6" customWidth="1" outlineLevel="1" collapsed="1"/>
    <col min="8" max="8" width="11.5703125" style="1" bestFit="1" customWidth="1"/>
    <col min="9" max="9" width="5.85546875" style="34" hidden="1" customWidth="1" outlineLevel="1"/>
    <col min="10" max="10" width="4.85546875" style="33" customWidth="1" collapsed="1"/>
    <col min="11" max="11" width="21.5703125" customWidth="1" outlineLevel="2"/>
    <col min="12" max="12" width="6.7109375" customWidth="1" outlineLevel="2"/>
    <col min="13" max="13" width="15.28515625" customWidth="1" outlineLevel="2"/>
    <col min="14" max="15" width="14.42578125" customWidth="1" outlineLevel="1"/>
    <col min="16" max="16" width="31.7109375" style="13" customWidth="1" outlineLevel="1" collapsed="1"/>
    <col min="17" max="17" width="6.85546875" style="6" customWidth="1"/>
    <col min="18" max="18" width="5.140625" style="14" customWidth="1" collapsed="1"/>
    <col min="19" max="19" width="16.140625" customWidth="1" outlineLevel="1"/>
    <col min="20" max="20" width="11.42578125" style="14" hidden="1" customWidth="1" outlineLevel="2"/>
    <col min="21" max="21" width="12.42578125" style="14" hidden="1" customWidth="1" outlineLevel="2"/>
    <col min="22" max="22" width="10.5703125" hidden="1" customWidth="1" outlineLevel="2"/>
    <col min="23" max="24" width="5.5703125" customWidth="1" outlineLevel="1" collapsed="1"/>
    <col min="25" max="25" width="22.5703125" customWidth="1" outlineLevel="1"/>
    <col min="26" max="30" width="4.28515625" style="6" customWidth="1"/>
    <col min="31" max="31" width="4.28515625" style="6" hidden="1" customWidth="1" outlineLevel="1"/>
    <col min="32" max="32" width="4.28515625" style="6" customWidth="1" collapsed="1"/>
    <col min="33" max="35" width="4.28515625" style="6" customWidth="1"/>
    <col min="36" max="36" width="4.28515625" style="6" hidden="1" customWidth="1" outlineLevel="1"/>
    <col min="37" max="37" width="4.28515625" style="6" customWidth="1" collapsed="1"/>
    <col min="38" max="43" width="4.28515625" style="6" customWidth="1"/>
    <col min="44" max="47" width="4.140625" style="8" customWidth="1"/>
    <col min="48" max="48" width="4.140625" style="8" hidden="1" customWidth="1" outlineLevel="1"/>
    <col min="49" max="49" width="4.140625" style="8" customWidth="1" collapsed="1"/>
    <col min="50" max="52" width="4.140625" style="8" customWidth="1"/>
    <col min="53" max="53" width="4.140625" style="8" hidden="1" customWidth="1" outlineLevel="1"/>
    <col min="54" max="54" width="4.140625" style="8" customWidth="1" collapsed="1"/>
    <col min="55" max="59" width="4.140625" style="8" customWidth="1"/>
    <col min="60" max="61" width="5.7109375" style="8" customWidth="1"/>
    <col min="62" max="63" width="4.140625" style="9" customWidth="1"/>
    <col min="64" max="64" width="4.7109375" customWidth="1"/>
  </cols>
  <sheetData>
    <row r="1" spans="1:63" ht="18" x14ac:dyDescent="0.25">
      <c r="B1" s="35" t="s">
        <v>471</v>
      </c>
      <c r="K1" s="36">
        <v>45470</v>
      </c>
      <c r="L1" s="66" t="s">
        <v>132</v>
      </c>
      <c r="M1" s="36">
        <v>45472</v>
      </c>
    </row>
    <row r="2" spans="1:63" x14ac:dyDescent="0.2">
      <c r="B2" s="208" t="s">
        <v>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0"/>
      <c r="S2" s="208" t="s">
        <v>12</v>
      </c>
      <c r="T2" s="209"/>
      <c r="U2" s="209"/>
      <c r="V2" s="209"/>
      <c r="W2" s="209"/>
      <c r="X2" s="209"/>
      <c r="Y2" s="210"/>
      <c r="Z2" s="156"/>
      <c r="AA2" s="206" t="s">
        <v>11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7"/>
      <c r="AR2" s="202" t="s">
        <v>23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4"/>
    </row>
    <row r="3" spans="1:63" ht="118.5" customHeight="1" outlineLevel="1" x14ac:dyDescent="0.2">
      <c r="B3" s="199" t="s">
        <v>0</v>
      </c>
      <c r="C3" s="199" t="s">
        <v>1</v>
      </c>
      <c r="D3" s="197"/>
      <c r="E3" s="197"/>
      <c r="F3" s="174"/>
      <c r="G3" s="211" t="s">
        <v>112</v>
      </c>
      <c r="H3" s="199" t="s">
        <v>2</v>
      </c>
      <c r="I3" s="196" t="s">
        <v>3</v>
      </c>
      <c r="J3" s="197" t="s">
        <v>115</v>
      </c>
      <c r="K3" s="199" t="s">
        <v>4</v>
      </c>
      <c r="L3" s="199" t="s">
        <v>5</v>
      </c>
      <c r="M3" s="199" t="s">
        <v>6</v>
      </c>
      <c r="N3" s="199" t="s">
        <v>293</v>
      </c>
      <c r="O3" s="199" t="s">
        <v>7</v>
      </c>
      <c r="P3" s="199" t="s">
        <v>135</v>
      </c>
      <c r="Q3" s="197" t="s">
        <v>8</v>
      </c>
      <c r="R3" s="200" t="s">
        <v>139</v>
      </c>
      <c r="S3" s="199" t="s">
        <v>12</v>
      </c>
      <c r="T3" s="200" t="s">
        <v>21</v>
      </c>
      <c r="U3" s="200" t="s">
        <v>22</v>
      </c>
      <c r="V3" s="200" t="s">
        <v>203</v>
      </c>
      <c r="W3" s="199" t="s">
        <v>452</v>
      </c>
      <c r="X3" s="199" t="s">
        <v>137</v>
      </c>
      <c r="Y3" s="199" t="s">
        <v>30</v>
      </c>
      <c r="Z3" s="19" t="s">
        <v>327</v>
      </c>
      <c r="AA3" s="17" t="s">
        <v>113</v>
      </c>
      <c r="AB3" s="17" t="s">
        <v>279</v>
      </c>
      <c r="AC3" s="17" t="s">
        <v>426</v>
      </c>
      <c r="AD3" s="17" t="s">
        <v>133</v>
      </c>
      <c r="AE3" s="17" t="s">
        <v>386</v>
      </c>
      <c r="AF3" s="17" t="s">
        <v>120</v>
      </c>
      <c r="AG3" s="17" t="s">
        <v>121</v>
      </c>
      <c r="AH3" s="17" t="s">
        <v>481</v>
      </c>
      <c r="AI3" s="17" t="s">
        <v>297</v>
      </c>
      <c r="AJ3" s="17" t="s">
        <v>454</v>
      </c>
      <c r="AK3" s="17" t="s">
        <v>154</v>
      </c>
      <c r="AL3" s="17" t="s">
        <v>424</v>
      </c>
      <c r="AM3" s="17" t="s">
        <v>455</v>
      </c>
      <c r="AN3" s="17" t="s">
        <v>345</v>
      </c>
      <c r="AO3" s="17" t="s">
        <v>427</v>
      </c>
      <c r="AP3" s="17" t="s">
        <v>114</v>
      </c>
      <c r="AQ3" s="133" t="s">
        <v>10</v>
      </c>
      <c r="AR3" s="32" t="s">
        <v>113</v>
      </c>
      <c r="AS3" s="32" t="s">
        <v>279</v>
      </c>
      <c r="AT3" s="32" t="s">
        <v>426</v>
      </c>
      <c r="AU3" s="32" t="s">
        <v>133</v>
      </c>
      <c r="AV3" s="32" t="s">
        <v>386</v>
      </c>
      <c r="AW3" s="32" t="s">
        <v>120</v>
      </c>
      <c r="AX3" s="32" t="s">
        <v>121</v>
      </c>
      <c r="AY3" s="32" t="s">
        <v>481</v>
      </c>
      <c r="AZ3" s="32" t="s">
        <v>297</v>
      </c>
      <c r="BA3" s="32" t="s">
        <v>454</v>
      </c>
      <c r="BB3" s="32" t="s">
        <v>154</v>
      </c>
      <c r="BC3" s="32" t="s">
        <v>424</v>
      </c>
      <c r="BD3" s="32" t="s">
        <v>455</v>
      </c>
      <c r="BE3" s="32" t="s">
        <v>345</v>
      </c>
      <c r="BF3" s="32" t="s">
        <v>427</v>
      </c>
      <c r="BG3" s="32" t="s">
        <v>114</v>
      </c>
      <c r="BH3" s="205" t="s">
        <v>24</v>
      </c>
      <c r="BI3" s="205" t="s">
        <v>25</v>
      </c>
      <c r="BJ3" s="205" t="s">
        <v>106</v>
      </c>
      <c r="BK3" s="205" t="s">
        <v>111</v>
      </c>
    </row>
    <row r="4" spans="1:63" ht="17.25" customHeight="1" x14ac:dyDescent="0.2">
      <c r="A4" s="67" t="s">
        <v>209</v>
      </c>
      <c r="B4" s="199"/>
      <c r="C4" s="199"/>
      <c r="D4" s="198"/>
      <c r="E4" s="198"/>
      <c r="F4" s="175"/>
      <c r="G4" s="212"/>
      <c r="H4" s="199"/>
      <c r="I4" s="196"/>
      <c r="J4" s="198"/>
      <c r="K4" s="199"/>
      <c r="L4" s="199"/>
      <c r="M4" s="199"/>
      <c r="N4" s="199"/>
      <c r="O4" s="199"/>
      <c r="P4" s="199"/>
      <c r="Q4" s="198"/>
      <c r="R4" s="201"/>
      <c r="S4" s="199"/>
      <c r="T4" s="201"/>
      <c r="U4" s="201"/>
      <c r="V4" s="201"/>
      <c r="W4" s="199"/>
      <c r="X4" s="199"/>
      <c r="Y4" s="199"/>
      <c r="Z4" s="20">
        <v>32</v>
      </c>
      <c r="AA4" s="18">
        <v>5</v>
      </c>
      <c r="AB4" s="18">
        <v>10</v>
      </c>
      <c r="AC4" s="18">
        <v>5</v>
      </c>
      <c r="AD4" s="18">
        <v>4</v>
      </c>
      <c r="AE4" s="18">
        <v>8</v>
      </c>
      <c r="AF4" s="18">
        <v>6</v>
      </c>
      <c r="AG4" s="18">
        <v>6</v>
      </c>
      <c r="AH4" s="18">
        <v>6</v>
      </c>
      <c r="AI4" s="18">
        <v>6</v>
      </c>
      <c r="AJ4" s="18">
        <v>8</v>
      </c>
      <c r="AK4" s="18">
        <v>3</v>
      </c>
      <c r="AL4" s="18">
        <v>5</v>
      </c>
      <c r="AM4" s="18">
        <v>8</v>
      </c>
      <c r="AN4" s="18">
        <v>2</v>
      </c>
      <c r="AO4" s="18">
        <v>60</v>
      </c>
      <c r="AP4" s="18">
        <v>60</v>
      </c>
      <c r="AQ4" s="20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05"/>
      <c r="BI4" s="205"/>
      <c r="BJ4" s="205"/>
      <c r="BK4" s="205"/>
    </row>
    <row r="5" spans="1:63" ht="15" customHeight="1" x14ac:dyDescent="0.2">
      <c r="A5" s="67">
        <v>1</v>
      </c>
      <c r="B5" s="90"/>
      <c r="C5" s="90"/>
      <c r="D5" s="90"/>
      <c r="E5" s="90" t="s">
        <v>271</v>
      </c>
      <c r="F5" s="180" t="s">
        <v>447</v>
      </c>
      <c r="G5" s="176"/>
      <c r="H5" s="90" t="s">
        <v>267</v>
      </c>
      <c r="I5" s="91"/>
      <c r="J5" s="90"/>
      <c r="K5" s="90"/>
      <c r="L5" s="90"/>
      <c r="M5" s="90"/>
      <c r="N5" s="90"/>
      <c r="O5" s="90"/>
      <c r="P5" s="90"/>
      <c r="Q5" s="90"/>
      <c r="R5" s="92"/>
      <c r="S5" s="93"/>
      <c r="T5" s="92"/>
      <c r="U5" s="92"/>
      <c r="V5" s="92"/>
      <c r="W5" s="90"/>
      <c r="X5" s="90"/>
      <c r="Y5" s="90"/>
      <c r="Z5" s="94"/>
      <c r="AA5" s="95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135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99"/>
      <c r="BI5" s="99"/>
      <c r="BJ5" s="100"/>
      <c r="BK5" s="101"/>
    </row>
    <row r="6" spans="1:63" ht="12.75" customHeight="1" x14ac:dyDescent="0.2">
      <c r="A6" s="22">
        <v>2</v>
      </c>
      <c r="B6" s="23" t="s">
        <v>428</v>
      </c>
      <c r="C6" s="58" t="s">
        <v>429</v>
      </c>
      <c r="D6" s="51" t="str">
        <f t="shared" ref="D6:D73" si="0">$B6&amp;" "&amp;$C6</f>
        <v>Angst Nils</v>
      </c>
      <c r="E6" s="51" t="str">
        <f>$G6&amp;" ("&amp;D6&amp;")"</f>
        <v>007965 (Angst Nils)</v>
      </c>
      <c r="F6" s="51" t="e">
        <f>VLOOKUP($E6,#REF!,1,0)</f>
        <v>#REF!</v>
      </c>
      <c r="G6" s="171" t="s">
        <v>430</v>
      </c>
      <c r="H6" s="53">
        <v>40059</v>
      </c>
      <c r="I6" s="54">
        <f>YEAR(H6)</f>
        <v>2009</v>
      </c>
      <c r="J6" s="55" t="str">
        <f>IF(YEAR($K$1)-I6&lt;=14,"JJ",IF(YEAR($K$1)-I6&lt;=20,"J",IF(YEAR($K$1)-I6&gt;=70,"SV",IF(YEAR($K$1)-I6&gt;=60,"V",""))))</f>
        <v>J</v>
      </c>
      <c r="K6" s="23" t="s">
        <v>431</v>
      </c>
      <c r="L6" s="22">
        <v>8254</v>
      </c>
      <c r="M6" s="22" t="s">
        <v>37</v>
      </c>
      <c r="N6" s="23"/>
      <c r="O6" s="22"/>
      <c r="P6" s="56"/>
      <c r="Q6" s="15">
        <v>90</v>
      </c>
      <c r="R6" s="57"/>
      <c r="S6" s="80"/>
      <c r="T6" s="64"/>
      <c r="U6" s="64"/>
      <c r="V6" s="23"/>
      <c r="W6" s="23"/>
      <c r="X6" s="23"/>
      <c r="Y6" s="23"/>
      <c r="Z6" s="16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29"/>
      <c r="AR6" s="24">
        <f t="shared" ref="AR6" si="1">AA6*AA$4</f>
        <v>0</v>
      </c>
      <c r="AS6" s="24">
        <f t="shared" ref="AS6" si="2">AB6*AB$4</f>
        <v>0</v>
      </c>
      <c r="AT6" s="24">
        <f t="shared" ref="AT6" si="3">AC6*AC$4</f>
        <v>0</v>
      </c>
      <c r="AU6" s="24">
        <f t="shared" ref="AU6" si="4">AD6*AD$4</f>
        <v>0</v>
      </c>
      <c r="AV6" s="24">
        <f t="shared" ref="AV6" si="5">AE6*AE$4</f>
        <v>0</v>
      </c>
      <c r="AW6" s="24">
        <f t="shared" ref="AW6" si="6">AF6*AF$4</f>
        <v>0</v>
      </c>
      <c r="AX6" s="24">
        <f t="shared" ref="AX6" si="7">AG6*AG$4</f>
        <v>0</v>
      </c>
      <c r="AY6" s="24">
        <f t="shared" ref="AY6" si="8">AH6*AH$4</f>
        <v>0</v>
      </c>
      <c r="AZ6" s="24">
        <f t="shared" ref="AZ6" si="9">AI6*AI$4</f>
        <v>0</v>
      </c>
      <c r="BA6" s="24">
        <f t="shared" ref="BA6" si="10">AJ6*AJ$4</f>
        <v>0</v>
      </c>
      <c r="BB6" s="24">
        <f t="shared" ref="BB6" si="11">AK6*AK$4</f>
        <v>0</v>
      </c>
      <c r="BC6" s="24">
        <f t="shared" ref="BC6" si="12">AL6*AL$4</f>
        <v>0</v>
      </c>
      <c r="BD6" s="24">
        <f t="shared" ref="BD6" si="13">AM6*AM$4</f>
        <v>0</v>
      </c>
      <c r="BE6" s="24">
        <f t="shared" ref="BE6" si="14">AN6*AN$4</f>
        <v>0</v>
      </c>
      <c r="BF6" s="24">
        <f t="shared" ref="BF6" si="15">AO6*AO$4</f>
        <v>0</v>
      </c>
      <c r="BG6" s="46">
        <f t="shared" ref="BG6" si="16">AP6*AP$4</f>
        <v>0</v>
      </c>
      <c r="BH6" s="24">
        <f>SUM(AR6:BE6)</f>
        <v>0</v>
      </c>
      <c r="BI6" s="24">
        <f>SUM(AR6:BG6)</f>
        <v>0</v>
      </c>
      <c r="BJ6" s="43">
        <f t="shared" ref="BJ6:BJ45" si="17">ROUNDUP($BH6/20,0)+$AO6*4+$AP6*5</f>
        <v>0</v>
      </c>
      <c r="BK6" s="44">
        <f t="shared" ref="BK6:BK73" si="18">$AO6*4+$AP6*5</f>
        <v>0</v>
      </c>
    </row>
    <row r="7" spans="1:63" ht="12.75" customHeight="1" x14ac:dyDescent="0.2">
      <c r="A7" s="22">
        <v>3</v>
      </c>
      <c r="B7" s="23" t="s">
        <v>402</v>
      </c>
      <c r="C7" s="58" t="s">
        <v>401</v>
      </c>
      <c r="D7" s="51" t="str">
        <f t="shared" si="0"/>
        <v>Bächi Sindre</v>
      </c>
      <c r="E7" s="51" t="str">
        <f>$G7&amp;" ("&amp;D7&amp;")"</f>
        <v>003208 (Bächi Sindre)</v>
      </c>
      <c r="F7" s="51" t="e">
        <f>VLOOKUP($E7,#REF!,1,0)</f>
        <v>#REF!</v>
      </c>
      <c r="G7" s="171" t="s">
        <v>414</v>
      </c>
      <c r="H7" s="53">
        <v>39103</v>
      </c>
      <c r="I7" s="54">
        <f>YEAR(H7)</f>
        <v>2007</v>
      </c>
      <c r="J7" s="55" t="str">
        <f>IF(YEAR($K$1)-I7&lt;=14,"JJ",IF(YEAR($K$1)-I7&lt;=20,"J",IF(YEAR($K$1)-I7&gt;=70,"SV",IF(YEAR($K$1)-I7&gt;=60,"V",""))))</f>
        <v>J</v>
      </c>
      <c r="K7" s="23" t="s">
        <v>403</v>
      </c>
      <c r="L7" s="22">
        <v>8254</v>
      </c>
      <c r="M7" s="22" t="s">
        <v>37</v>
      </c>
      <c r="N7" s="23"/>
      <c r="O7" s="22"/>
      <c r="P7" s="56"/>
      <c r="Q7" s="15">
        <v>90</v>
      </c>
      <c r="R7" s="57"/>
      <c r="S7" s="80"/>
      <c r="T7" s="64"/>
      <c r="U7" s="64"/>
      <c r="V7" s="23"/>
      <c r="W7" s="23"/>
      <c r="X7" s="23"/>
      <c r="Y7" s="23"/>
      <c r="Z7" s="16"/>
      <c r="AA7" s="39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29"/>
      <c r="AR7" s="24">
        <f t="shared" ref="AR7:BG7" si="19">AA7*AA$4</f>
        <v>0</v>
      </c>
      <c r="AS7" s="24">
        <f t="shared" si="19"/>
        <v>0</v>
      </c>
      <c r="AT7" s="24">
        <f t="shared" si="19"/>
        <v>0</v>
      </c>
      <c r="AU7" s="24">
        <f t="shared" si="19"/>
        <v>0</v>
      </c>
      <c r="AV7" s="24">
        <f t="shared" si="19"/>
        <v>0</v>
      </c>
      <c r="AW7" s="24">
        <f t="shared" si="19"/>
        <v>0</v>
      </c>
      <c r="AX7" s="24">
        <f t="shared" si="19"/>
        <v>0</v>
      </c>
      <c r="AY7" s="24">
        <f t="shared" si="19"/>
        <v>0</v>
      </c>
      <c r="AZ7" s="24">
        <f t="shared" si="19"/>
        <v>0</v>
      </c>
      <c r="BA7" s="24">
        <f t="shared" si="19"/>
        <v>0</v>
      </c>
      <c r="BB7" s="24">
        <f t="shared" si="19"/>
        <v>0</v>
      </c>
      <c r="BC7" s="24">
        <f t="shared" si="19"/>
        <v>0</v>
      </c>
      <c r="BD7" s="24">
        <f t="shared" si="19"/>
        <v>0</v>
      </c>
      <c r="BE7" s="24">
        <f t="shared" si="19"/>
        <v>0</v>
      </c>
      <c r="BF7" s="24">
        <f t="shared" si="19"/>
        <v>0</v>
      </c>
      <c r="BG7" s="46">
        <f t="shared" si="19"/>
        <v>0</v>
      </c>
      <c r="BH7" s="24">
        <f>SUM(AR7:BE7)</f>
        <v>0</v>
      </c>
      <c r="BI7" s="24">
        <f>SUM(AR7:BG7)</f>
        <v>0</v>
      </c>
      <c r="BJ7" s="43">
        <f t="shared" si="17"/>
        <v>0</v>
      </c>
      <c r="BK7" s="44">
        <f t="shared" si="18"/>
        <v>0</v>
      </c>
    </row>
    <row r="8" spans="1:63" ht="12.75" customHeight="1" x14ac:dyDescent="0.2">
      <c r="A8" s="22">
        <v>4</v>
      </c>
      <c r="B8" s="22" t="s">
        <v>66</v>
      </c>
      <c r="C8" s="51" t="s">
        <v>14</v>
      </c>
      <c r="D8" s="51" t="str">
        <f t="shared" si="0"/>
        <v>Bölsterli Urs</v>
      </c>
      <c r="E8" s="51" t="str">
        <f t="shared" ref="E8:E73" si="20">$G8&amp;" ("&amp;D8&amp;")"</f>
        <v>160584 (Bölsterli Urs)</v>
      </c>
      <c r="F8" s="51" t="e">
        <f>VLOOKUP($E8,#REF!,1,0)</f>
        <v>#REF!</v>
      </c>
      <c r="G8" s="177">
        <v>160584</v>
      </c>
      <c r="H8" s="53">
        <v>23137</v>
      </c>
      <c r="I8" s="54">
        <f t="shared" ref="I8:I63" si="21">YEAR(H8)</f>
        <v>1963</v>
      </c>
      <c r="J8" s="55" t="str">
        <f t="shared" ref="J8:J18" si="22">IF(YEAR($K$1)-I8&lt;=14,"JJ",IF(YEAR($K$1)-I8&lt;=20,"J",IF(YEAR($K$1)-I8&gt;=70,"SV",IF(YEAR($K$1)-I8&gt;=60,"V",""))))</f>
        <v>V</v>
      </c>
      <c r="K8" s="22" t="s">
        <v>67</v>
      </c>
      <c r="L8" s="22">
        <v>8254</v>
      </c>
      <c r="M8" s="22" t="s">
        <v>37</v>
      </c>
      <c r="N8" s="23" t="s">
        <v>318</v>
      </c>
      <c r="O8" s="22" t="s">
        <v>68</v>
      </c>
      <c r="P8" s="56" t="s">
        <v>140</v>
      </c>
      <c r="Q8" s="15" t="s">
        <v>20</v>
      </c>
      <c r="R8" s="57">
        <v>3</v>
      </c>
      <c r="S8" s="80" t="s">
        <v>22</v>
      </c>
      <c r="T8" s="64"/>
      <c r="U8" s="64"/>
      <c r="V8" s="23"/>
      <c r="W8" s="23">
        <v>1</v>
      </c>
      <c r="X8" s="23">
        <v>1</v>
      </c>
      <c r="Y8" s="184" t="s">
        <v>483</v>
      </c>
      <c r="Z8" s="16"/>
      <c r="AA8" s="39">
        <v>3</v>
      </c>
      <c r="AB8" s="40">
        <v>1</v>
      </c>
      <c r="AC8" s="40"/>
      <c r="AD8" s="40"/>
      <c r="AE8" s="40"/>
      <c r="AF8" s="40">
        <v>1</v>
      </c>
      <c r="AG8" s="40">
        <v>1</v>
      </c>
      <c r="AH8" s="40">
        <v>1</v>
      </c>
      <c r="AI8" s="40"/>
      <c r="AJ8" s="40"/>
      <c r="AK8" s="40"/>
      <c r="AL8" s="40">
        <v>1</v>
      </c>
      <c r="AM8" s="40"/>
      <c r="AN8" s="40"/>
      <c r="AO8" s="40"/>
      <c r="AP8" s="40"/>
      <c r="AQ8" s="183" t="s">
        <v>28</v>
      </c>
      <c r="AR8" s="24">
        <f t="shared" ref="AR8:AR82" si="23">AA8*AA$4</f>
        <v>15</v>
      </c>
      <c r="AS8" s="24">
        <f t="shared" ref="AS8:AS73" si="24">AB8*AB$4</f>
        <v>10</v>
      </c>
      <c r="AT8" s="24">
        <f t="shared" ref="AT8:AT82" si="25">AC8*AC$4</f>
        <v>0</v>
      </c>
      <c r="AU8" s="24">
        <f t="shared" ref="AU8:AV82" si="26">AD8*AD$4</f>
        <v>0</v>
      </c>
      <c r="AV8" s="24">
        <f t="shared" si="26"/>
        <v>0</v>
      </c>
      <c r="AW8" s="24">
        <f t="shared" ref="AW8:AW82" si="27">AF8*AF$4</f>
        <v>6</v>
      </c>
      <c r="AX8" s="24">
        <f t="shared" ref="AX8:AX73" si="28">AG8*AG$4</f>
        <v>6</v>
      </c>
      <c r="AY8" s="24">
        <f t="shared" ref="AY8:AZ73" si="29">AH8*AH$4</f>
        <v>6</v>
      </c>
      <c r="AZ8" s="24">
        <f t="shared" si="29"/>
        <v>0</v>
      </c>
      <c r="BA8" s="24">
        <f t="shared" ref="BA8:BG30" si="30">AJ8*AJ$4</f>
        <v>0</v>
      </c>
      <c r="BB8" s="24">
        <f t="shared" si="30"/>
        <v>0</v>
      </c>
      <c r="BC8" s="24">
        <f t="shared" si="30"/>
        <v>5</v>
      </c>
      <c r="BD8" s="24">
        <f t="shared" si="30"/>
        <v>0</v>
      </c>
      <c r="BE8" s="24">
        <f t="shared" si="30"/>
        <v>0</v>
      </c>
      <c r="BF8" s="24">
        <f t="shared" si="30"/>
        <v>0</v>
      </c>
      <c r="BG8" s="46">
        <f t="shared" si="30"/>
        <v>0</v>
      </c>
      <c r="BH8" s="24">
        <f t="shared" ref="BH8:BH63" si="31">SUM(AR8:BE8)</f>
        <v>48</v>
      </c>
      <c r="BI8" s="24">
        <f t="shared" ref="BI8:BI63" si="32">SUM(AR8:BG8)</f>
        <v>48</v>
      </c>
      <c r="BJ8" s="43">
        <f t="shared" si="17"/>
        <v>3</v>
      </c>
      <c r="BK8" s="44">
        <f t="shared" si="18"/>
        <v>0</v>
      </c>
    </row>
    <row r="9" spans="1:63" ht="12.75" customHeight="1" x14ac:dyDescent="0.2">
      <c r="A9" s="22">
        <v>5</v>
      </c>
      <c r="B9" s="23" t="s">
        <v>69</v>
      </c>
      <c r="C9" s="51" t="s">
        <v>70</v>
      </c>
      <c r="D9" s="51" t="str">
        <f>$B9&amp;" "&amp;$C9</f>
        <v>Breitler Andrea</v>
      </c>
      <c r="E9" s="51" t="str">
        <f>$G9&amp;" ("&amp;D9&amp;")"</f>
        <v>160621 (Breitler Andrea)</v>
      </c>
      <c r="F9" s="51" t="e">
        <f>VLOOKUP($E9,#REF!,1,0)</f>
        <v>#REF!</v>
      </c>
      <c r="G9" s="177">
        <v>160621</v>
      </c>
      <c r="H9" s="53">
        <v>30519</v>
      </c>
      <c r="I9" s="54">
        <f>YEAR(H9)</f>
        <v>1983</v>
      </c>
      <c r="J9" s="55" t="str">
        <f>IF(YEAR($K$1)-I9&lt;=14,"JJ",IF(YEAR($K$1)-I9&lt;=20,"J",IF(YEAR($K$1)-I9&gt;=70,"SV",IF(YEAR($K$1)-I9&gt;=60,"V",""))))</f>
        <v/>
      </c>
      <c r="K9" s="22" t="s">
        <v>272</v>
      </c>
      <c r="L9" s="22">
        <v>8254</v>
      </c>
      <c r="M9" s="22" t="s">
        <v>37</v>
      </c>
      <c r="N9" s="22" t="s">
        <v>71</v>
      </c>
      <c r="O9" s="22" t="s">
        <v>153</v>
      </c>
      <c r="P9" s="56" t="s">
        <v>168</v>
      </c>
      <c r="Q9" s="15" t="s">
        <v>20</v>
      </c>
      <c r="R9" s="57">
        <v>2</v>
      </c>
      <c r="S9" s="189"/>
      <c r="T9" s="64"/>
      <c r="U9" s="64"/>
      <c r="V9" s="23"/>
      <c r="W9" s="23"/>
      <c r="X9" s="23"/>
      <c r="Y9" s="184"/>
      <c r="Z9" s="16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182"/>
      <c r="AR9" s="24">
        <f t="shared" ref="AR9:BG9" si="33">AA9*AA$4</f>
        <v>0</v>
      </c>
      <c r="AS9" s="24">
        <f t="shared" si="33"/>
        <v>0</v>
      </c>
      <c r="AT9" s="24">
        <f t="shared" si="33"/>
        <v>0</v>
      </c>
      <c r="AU9" s="24">
        <f t="shared" si="33"/>
        <v>0</v>
      </c>
      <c r="AV9" s="24">
        <f t="shared" si="33"/>
        <v>0</v>
      </c>
      <c r="AW9" s="24">
        <f t="shared" si="33"/>
        <v>0</v>
      </c>
      <c r="AX9" s="24">
        <f t="shared" si="33"/>
        <v>0</v>
      </c>
      <c r="AY9" s="24">
        <f t="shared" si="33"/>
        <v>0</v>
      </c>
      <c r="AZ9" s="24">
        <f t="shared" si="33"/>
        <v>0</v>
      </c>
      <c r="BA9" s="24">
        <f t="shared" si="33"/>
        <v>0</v>
      </c>
      <c r="BB9" s="24">
        <f t="shared" si="33"/>
        <v>0</v>
      </c>
      <c r="BC9" s="24">
        <f t="shared" si="33"/>
        <v>0</v>
      </c>
      <c r="BD9" s="24">
        <f t="shared" si="33"/>
        <v>0</v>
      </c>
      <c r="BE9" s="24">
        <f t="shared" si="33"/>
        <v>0</v>
      </c>
      <c r="BF9" s="24">
        <f t="shared" si="33"/>
        <v>0</v>
      </c>
      <c r="BG9" s="46">
        <f t="shared" si="33"/>
        <v>0</v>
      </c>
      <c r="BH9" s="24">
        <f>SUM(AR9:BE9)</f>
        <v>0</v>
      </c>
      <c r="BI9" s="24">
        <f>SUM(AR9:BG9)</f>
        <v>0</v>
      </c>
      <c r="BJ9" s="43">
        <f>ROUNDUP($BH9/20,0)+$AO9*4+$AP9*5</f>
        <v>0</v>
      </c>
      <c r="BK9" s="44">
        <f>$AO9*4+$AP9*5</f>
        <v>0</v>
      </c>
    </row>
    <row r="10" spans="1:63" ht="12.75" customHeight="1" x14ac:dyDescent="0.2">
      <c r="A10" s="22">
        <v>6</v>
      </c>
      <c r="B10" s="22" t="s">
        <v>69</v>
      </c>
      <c r="C10" s="51" t="s">
        <v>59</v>
      </c>
      <c r="D10" s="51" t="str">
        <f t="shared" si="0"/>
        <v>Breitler Jörg</v>
      </c>
      <c r="E10" s="51" t="str">
        <f t="shared" si="20"/>
        <v>160585 (Breitler Jörg)</v>
      </c>
      <c r="F10" s="51" t="e">
        <f>VLOOKUP($E10,#REF!,1,0)</f>
        <v>#REF!</v>
      </c>
      <c r="G10" s="177">
        <v>160585</v>
      </c>
      <c r="H10" s="53">
        <v>20691</v>
      </c>
      <c r="I10" s="54">
        <f t="shared" si="21"/>
        <v>1956</v>
      </c>
      <c r="J10" s="55" t="str">
        <f t="shared" si="22"/>
        <v>V</v>
      </c>
      <c r="K10" s="22" t="s">
        <v>60</v>
      </c>
      <c r="L10" s="22">
        <v>8254</v>
      </c>
      <c r="M10" s="22" t="s">
        <v>37</v>
      </c>
      <c r="N10" s="22" t="s">
        <v>174</v>
      </c>
      <c r="O10" s="22" t="s">
        <v>61</v>
      </c>
      <c r="P10" s="56" t="s">
        <v>141</v>
      </c>
      <c r="Q10" s="15">
        <v>90</v>
      </c>
      <c r="R10" s="57"/>
      <c r="S10" s="189"/>
      <c r="T10" s="64"/>
      <c r="U10" s="64"/>
      <c r="V10" s="23"/>
      <c r="W10" s="23"/>
      <c r="X10" s="23"/>
      <c r="Y10" s="184"/>
      <c r="Z10" s="16"/>
      <c r="AA10" s="39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181"/>
      <c r="AR10" s="24">
        <f t="shared" si="23"/>
        <v>0</v>
      </c>
      <c r="AS10" s="24">
        <f t="shared" si="24"/>
        <v>0</v>
      </c>
      <c r="AT10" s="24">
        <f t="shared" si="25"/>
        <v>0</v>
      </c>
      <c r="AU10" s="24">
        <f t="shared" si="26"/>
        <v>0</v>
      </c>
      <c r="AV10" s="24">
        <f t="shared" si="26"/>
        <v>0</v>
      </c>
      <c r="AW10" s="24">
        <f t="shared" si="27"/>
        <v>0</v>
      </c>
      <c r="AX10" s="24">
        <f t="shared" si="28"/>
        <v>0</v>
      </c>
      <c r="AY10" s="24">
        <f t="shared" si="29"/>
        <v>0</v>
      </c>
      <c r="AZ10" s="24">
        <f t="shared" si="29"/>
        <v>0</v>
      </c>
      <c r="BA10" s="24">
        <f t="shared" si="30"/>
        <v>0</v>
      </c>
      <c r="BB10" s="24">
        <f t="shared" si="30"/>
        <v>0</v>
      </c>
      <c r="BC10" s="24">
        <f t="shared" si="30"/>
        <v>0</v>
      </c>
      <c r="BD10" s="24">
        <f t="shared" si="30"/>
        <v>0</v>
      </c>
      <c r="BE10" s="24">
        <f t="shared" si="30"/>
        <v>0</v>
      </c>
      <c r="BF10" s="24">
        <f t="shared" si="30"/>
        <v>0</v>
      </c>
      <c r="BG10" s="46">
        <f t="shared" si="30"/>
        <v>0</v>
      </c>
      <c r="BH10" s="24">
        <f t="shared" si="31"/>
        <v>0</v>
      </c>
      <c r="BI10" s="24">
        <f t="shared" si="32"/>
        <v>0</v>
      </c>
      <c r="BJ10" s="43">
        <f t="shared" si="17"/>
        <v>0</v>
      </c>
      <c r="BK10" s="44">
        <f t="shared" si="18"/>
        <v>0</v>
      </c>
    </row>
    <row r="11" spans="1:63" ht="12.75" customHeight="1" x14ac:dyDescent="0.2">
      <c r="A11" s="22">
        <v>7</v>
      </c>
      <c r="B11" s="22" t="s">
        <v>69</v>
      </c>
      <c r="C11" s="51" t="s">
        <v>103</v>
      </c>
      <c r="D11" s="51" t="str">
        <f t="shared" si="0"/>
        <v>Breitler Mario</v>
      </c>
      <c r="E11" s="51" t="str">
        <f t="shared" si="20"/>
        <v>160622 (Breitler Mario)</v>
      </c>
      <c r="F11" s="51" t="e">
        <f>VLOOKUP($E11,#REF!,1,0)</f>
        <v>#REF!</v>
      </c>
      <c r="G11" s="177">
        <v>160622</v>
      </c>
      <c r="H11" s="53">
        <v>30992</v>
      </c>
      <c r="I11" s="54">
        <f t="shared" si="21"/>
        <v>1984</v>
      </c>
      <c r="J11" s="55" t="str">
        <f t="shared" si="22"/>
        <v/>
      </c>
      <c r="K11" s="22" t="s">
        <v>311</v>
      </c>
      <c r="L11" s="22">
        <v>8254</v>
      </c>
      <c r="M11" s="22" t="s">
        <v>37</v>
      </c>
      <c r="N11" s="22" t="s">
        <v>104</v>
      </c>
      <c r="O11" s="22" t="s">
        <v>105</v>
      </c>
      <c r="P11" s="56" t="s">
        <v>147</v>
      </c>
      <c r="Q11" s="15">
        <v>90</v>
      </c>
      <c r="R11" s="57">
        <v>3</v>
      </c>
      <c r="S11" s="189" t="s">
        <v>365</v>
      </c>
      <c r="T11" s="64"/>
      <c r="U11" s="64"/>
      <c r="V11" s="23"/>
      <c r="W11" s="23">
        <v>1</v>
      </c>
      <c r="X11" s="23">
        <v>1</v>
      </c>
      <c r="Y11" s="184" t="s">
        <v>484</v>
      </c>
      <c r="Z11" s="16"/>
      <c r="AA11" s="39">
        <v>2</v>
      </c>
      <c r="AB11" s="40">
        <v>1</v>
      </c>
      <c r="AC11" s="40"/>
      <c r="AD11" s="40"/>
      <c r="AE11" s="40"/>
      <c r="AF11" s="40">
        <v>1</v>
      </c>
      <c r="AG11" s="40">
        <v>1</v>
      </c>
      <c r="AH11" s="40">
        <v>1</v>
      </c>
      <c r="AI11" s="40">
        <v>1</v>
      </c>
      <c r="AJ11" s="40"/>
      <c r="AK11" s="40"/>
      <c r="AL11" s="40"/>
      <c r="AM11" s="40"/>
      <c r="AN11" s="40"/>
      <c r="AO11" s="40"/>
      <c r="AP11" s="40"/>
      <c r="AQ11" s="183" t="s">
        <v>28</v>
      </c>
      <c r="AR11" s="24">
        <f t="shared" si="23"/>
        <v>10</v>
      </c>
      <c r="AS11" s="24">
        <f t="shared" si="24"/>
        <v>10</v>
      </c>
      <c r="AT11" s="24">
        <f t="shared" si="25"/>
        <v>0</v>
      </c>
      <c r="AU11" s="24">
        <f t="shared" si="26"/>
        <v>0</v>
      </c>
      <c r="AV11" s="24">
        <f t="shared" si="26"/>
        <v>0</v>
      </c>
      <c r="AW11" s="24">
        <f t="shared" si="27"/>
        <v>6</v>
      </c>
      <c r="AX11" s="24">
        <f t="shared" si="28"/>
        <v>6</v>
      </c>
      <c r="AY11" s="24">
        <f t="shared" si="29"/>
        <v>6</v>
      </c>
      <c r="AZ11" s="24">
        <f t="shared" si="29"/>
        <v>6</v>
      </c>
      <c r="BA11" s="24">
        <f t="shared" si="30"/>
        <v>0</v>
      </c>
      <c r="BB11" s="24">
        <f t="shared" si="30"/>
        <v>0</v>
      </c>
      <c r="BC11" s="24">
        <f t="shared" si="30"/>
        <v>0</v>
      </c>
      <c r="BD11" s="24">
        <f t="shared" si="30"/>
        <v>0</v>
      </c>
      <c r="BE11" s="24">
        <f t="shared" si="30"/>
        <v>0</v>
      </c>
      <c r="BF11" s="24">
        <f t="shared" si="30"/>
        <v>0</v>
      </c>
      <c r="BG11" s="46">
        <f t="shared" si="30"/>
        <v>0</v>
      </c>
      <c r="BH11" s="24">
        <f t="shared" si="31"/>
        <v>44</v>
      </c>
      <c r="BI11" s="24">
        <f t="shared" si="32"/>
        <v>44</v>
      </c>
      <c r="BJ11" s="43">
        <f t="shared" si="17"/>
        <v>3</v>
      </c>
      <c r="BK11" s="44">
        <f t="shared" si="18"/>
        <v>0</v>
      </c>
    </row>
    <row r="12" spans="1:63" ht="12.75" customHeight="1" x14ac:dyDescent="0.2">
      <c r="A12" s="22">
        <v>8</v>
      </c>
      <c r="B12" s="22" t="s">
        <v>69</v>
      </c>
      <c r="C12" s="51" t="s">
        <v>101</v>
      </c>
      <c r="D12" s="51" t="str">
        <f t="shared" si="0"/>
        <v>Breitler Stefan</v>
      </c>
      <c r="E12" s="51" t="str">
        <f t="shared" si="20"/>
        <v>291599 (Breitler Stefan)</v>
      </c>
      <c r="F12" s="51" t="e">
        <f>VLOOKUP($E12,#REF!,1,0)</f>
        <v>#REF!</v>
      </c>
      <c r="G12" s="177">
        <v>291599</v>
      </c>
      <c r="H12" s="53">
        <v>33166</v>
      </c>
      <c r="I12" s="54">
        <f t="shared" si="21"/>
        <v>1990</v>
      </c>
      <c r="J12" s="55" t="str">
        <f t="shared" si="22"/>
        <v/>
      </c>
      <c r="K12" s="22" t="s">
        <v>425</v>
      </c>
      <c r="L12" s="22">
        <v>8254</v>
      </c>
      <c r="M12" s="22" t="s">
        <v>37</v>
      </c>
      <c r="N12" s="22" t="s">
        <v>333</v>
      </c>
      <c r="O12" s="22" t="s">
        <v>102</v>
      </c>
      <c r="P12" s="56" t="s">
        <v>170</v>
      </c>
      <c r="Q12" s="15" t="s">
        <v>20</v>
      </c>
      <c r="R12" s="57">
        <v>3</v>
      </c>
      <c r="S12" s="189" t="s">
        <v>365</v>
      </c>
      <c r="T12" s="64"/>
      <c r="U12" s="64"/>
      <c r="V12" s="23"/>
      <c r="W12" s="23">
        <v>1</v>
      </c>
      <c r="X12" s="23">
        <v>1</v>
      </c>
      <c r="Y12" s="184" t="s">
        <v>482</v>
      </c>
      <c r="Z12" s="16"/>
      <c r="AA12" s="39">
        <v>3</v>
      </c>
      <c r="AB12" s="40">
        <v>1</v>
      </c>
      <c r="AC12" s="40"/>
      <c r="AD12" s="40"/>
      <c r="AE12" s="40"/>
      <c r="AF12" s="40">
        <v>1</v>
      </c>
      <c r="AG12" s="40"/>
      <c r="AH12" s="40">
        <v>1</v>
      </c>
      <c r="AI12" s="40">
        <v>1</v>
      </c>
      <c r="AJ12" s="40"/>
      <c r="AK12" s="40"/>
      <c r="AL12" s="40"/>
      <c r="AM12" s="40"/>
      <c r="AN12" s="40">
        <v>3</v>
      </c>
      <c r="AO12" s="40"/>
      <c r="AP12" s="40"/>
      <c r="AQ12" s="183" t="s">
        <v>28</v>
      </c>
      <c r="AR12" s="24">
        <f t="shared" si="23"/>
        <v>15</v>
      </c>
      <c r="AS12" s="24">
        <f t="shared" si="24"/>
        <v>10</v>
      </c>
      <c r="AT12" s="24">
        <f t="shared" si="25"/>
        <v>0</v>
      </c>
      <c r="AU12" s="24">
        <f t="shared" si="26"/>
        <v>0</v>
      </c>
      <c r="AV12" s="24">
        <f t="shared" si="26"/>
        <v>0</v>
      </c>
      <c r="AW12" s="24">
        <f t="shared" si="27"/>
        <v>6</v>
      </c>
      <c r="AX12" s="24">
        <f t="shared" si="28"/>
        <v>0</v>
      </c>
      <c r="AY12" s="24">
        <f t="shared" si="29"/>
        <v>6</v>
      </c>
      <c r="AZ12" s="24">
        <f t="shared" si="29"/>
        <v>6</v>
      </c>
      <c r="BA12" s="24">
        <f t="shared" si="30"/>
        <v>0</v>
      </c>
      <c r="BB12" s="24">
        <f t="shared" si="30"/>
        <v>0</v>
      </c>
      <c r="BC12" s="24">
        <f t="shared" si="30"/>
        <v>0</v>
      </c>
      <c r="BD12" s="24">
        <f t="shared" si="30"/>
        <v>0</v>
      </c>
      <c r="BE12" s="24">
        <f t="shared" si="30"/>
        <v>6</v>
      </c>
      <c r="BF12" s="24">
        <f t="shared" si="30"/>
        <v>0</v>
      </c>
      <c r="BG12" s="46">
        <f t="shared" si="30"/>
        <v>0</v>
      </c>
      <c r="BH12" s="24">
        <f t="shared" si="31"/>
        <v>49</v>
      </c>
      <c r="BI12" s="24">
        <f t="shared" si="32"/>
        <v>49</v>
      </c>
      <c r="BJ12" s="43">
        <f t="shared" si="17"/>
        <v>3</v>
      </c>
      <c r="BK12" s="44">
        <f t="shared" si="18"/>
        <v>0</v>
      </c>
    </row>
    <row r="13" spans="1:63" ht="12.75" customHeight="1" x14ac:dyDescent="0.2">
      <c r="A13" s="22">
        <v>9</v>
      </c>
      <c r="B13" s="22" t="s">
        <v>45</v>
      </c>
      <c r="C13" s="51" t="s">
        <v>46</v>
      </c>
      <c r="D13" s="51" t="str">
        <f t="shared" si="0"/>
        <v>Bürgi Kurt</v>
      </c>
      <c r="E13" s="51" t="str">
        <f t="shared" si="20"/>
        <v>160587 (Bürgi Kurt)</v>
      </c>
      <c r="F13" s="51" t="e">
        <f>VLOOKUP($E13,#REF!,1,0)</f>
        <v>#REF!</v>
      </c>
      <c r="G13" s="177">
        <v>160587</v>
      </c>
      <c r="H13" s="53">
        <v>16908</v>
      </c>
      <c r="I13" s="54">
        <f t="shared" si="21"/>
        <v>1946</v>
      </c>
      <c r="J13" s="55" t="str">
        <f t="shared" si="22"/>
        <v>SV</v>
      </c>
      <c r="K13" s="23" t="s">
        <v>124</v>
      </c>
      <c r="L13" s="22">
        <v>8267</v>
      </c>
      <c r="M13" s="23" t="s">
        <v>125</v>
      </c>
      <c r="N13" s="22" t="s">
        <v>182</v>
      </c>
      <c r="O13" s="22" t="s">
        <v>47</v>
      </c>
      <c r="P13" s="56" t="s">
        <v>161</v>
      </c>
      <c r="Q13" s="15" t="s">
        <v>20</v>
      </c>
      <c r="R13" s="57">
        <v>3</v>
      </c>
      <c r="S13" s="80" t="s">
        <v>366</v>
      </c>
      <c r="T13" s="64"/>
      <c r="U13" s="64"/>
      <c r="V13" s="23"/>
      <c r="W13" s="184">
        <v>1</v>
      </c>
      <c r="X13" s="184">
        <v>1</v>
      </c>
      <c r="Y13" s="184"/>
      <c r="Z13" s="16"/>
      <c r="AA13" s="39">
        <v>2</v>
      </c>
      <c r="AB13" s="40">
        <v>1</v>
      </c>
      <c r="AC13" s="40">
        <v>1</v>
      </c>
      <c r="AD13" s="40"/>
      <c r="AE13" s="40"/>
      <c r="AF13" s="40">
        <v>1</v>
      </c>
      <c r="AG13" s="40"/>
      <c r="AH13" s="40">
        <v>1</v>
      </c>
      <c r="AI13" s="40"/>
      <c r="AJ13" s="40"/>
      <c r="AK13" s="40">
        <v>1</v>
      </c>
      <c r="AL13" s="40">
        <v>1</v>
      </c>
      <c r="AM13" s="40"/>
      <c r="AN13" s="40">
        <v>5</v>
      </c>
      <c r="AO13" s="159"/>
      <c r="AP13" s="40"/>
      <c r="AQ13" s="29" t="s">
        <v>27</v>
      </c>
      <c r="AR13" s="24">
        <f>AA13*AA$4</f>
        <v>10</v>
      </c>
      <c r="AS13" s="24">
        <f t="shared" si="24"/>
        <v>10</v>
      </c>
      <c r="AT13" s="24">
        <f t="shared" ref="AT13:AW16" si="34">AC13*AC$4</f>
        <v>5</v>
      </c>
      <c r="AU13" s="24">
        <f t="shared" si="26"/>
        <v>0</v>
      </c>
      <c r="AV13" s="24">
        <f t="shared" si="34"/>
        <v>0</v>
      </c>
      <c r="AW13" s="24">
        <f t="shared" si="34"/>
        <v>6</v>
      </c>
      <c r="AX13" s="24">
        <f t="shared" si="28"/>
        <v>0</v>
      </c>
      <c r="AY13" s="24">
        <f>AH13*AH$4</f>
        <v>6</v>
      </c>
      <c r="AZ13" s="24">
        <f>AI13*AI$4</f>
        <v>0</v>
      </c>
      <c r="BA13" s="24">
        <f t="shared" si="30"/>
        <v>0</v>
      </c>
      <c r="BB13" s="24">
        <f t="shared" si="30"/>
        <v>3</v>
      </c>
      <c r="BC13" s="24">
        <f t="shared" si="30"/>
        <v>5</v>
      </c>
      <c r="BD13" s="24">
        <f t="shared" si="30"/>
        <v>0</v>
      </c>
      <c r="BE13" s="24">
        <f t="shared" si="30"/>
        <v>10</v>
      </c>
      <c r="BF13" s="24">
        <f t="shared" si="30"/>
        <v>0</v>
      </c>
      <c r="BG13" s="46">
        <f t="shared" si="30"/>
        <v>0</v>
      </c>
      <c r="BH13" s="24">
        <f t="shared" si="31"/>
        <v>55</v>
      </c>
      <c r="BI13" s="24">
        <f t="shared" si="32"/>
        <v>55</v>
      </c>
      <c r="BJ13" s="43">
        <f t="shared" si="17"/>
        <v>3</v>
      </c>
      <c r="BK13" s="44">
        <f t="shared" si="18"/>
        <v>0</v>
      </c>
    </row>
    <row r="14" spans="1:63" ht="12.75" customHeight="1" x14ac:dyDescent="0.2">
      <c r="A14" s="22">
        <v>10</v>
      </c>
      <c r="B14" s="22" t="s">
        <v>305</v>
      </c>
      <c r="C14" s="51" t="s">
        <v>306</v>
      </c>
      <c r="D14" s="51" t="str">
        <f t="shared" si="0"/>
        <v>Capuano Rocco</v>
      </c>
      <c r="E14" s="51" t="str">
        <f>$G14&amp;" ("&amp;D14&amp;")"</f>
        <v>829199 (Capuano Rocco)</v>
      </c>
      <c r="F14" s="51" t="e">
        <f>VLOOKUP($E14,#REF!,1,0)</f>
        <v>#REF!</v>
      </c>
      <c r="G14" s="177">
        <v>829199</v>
      </c>
      <c r="H14" s="53">
        <v>36892</v>
      </c>
      <c r="I14" s="54">
        <f t="shared" si="21"/>
        <v>2001</v>
      </c>
      <c r="J14" s="55" t="str">
        <f>IF(YEAR($K$1)-I14&lt;=14,"JJ",IF(YEAR($K$1)-I14&lt;=20,"J",IF(YEAR($K$1)-I14&gt;=70,"SV",IF(YEAR($K$1)-I14&gt;=60,"V",""))))</f>
        <v/>
      </c>
      <c r="K14" s="22" t="s">
        <v>307</v>
      </c>
      <c r="L14" s="22">
        <v>8254</v>
      </c>
      <c r="M14" s="22" t="s">
        <v>37</v>
      </c>
      <c r="N14" s="22" t="s">
        <v>457</v>
      </c>
      <c r="O14" s="22" t="s">
        <v>308</v>
      </c>
      <c r="P14" s="56" t="s">
        <v>309</v>
      </c>
      <c r="Q14" s="15">
        <v>90</v>
      </c>
      <c r="R14" s="57"/>
      <c r="S14" s="189"/>
      <c r="T14" s="23"/>
      <c r="U14" s="23"/>
      <c r="V14" s="23"/>
      <c r="W14" s="23"/>
      <c r="X14" s="184"/>
      <c r="Y14" s="184"/>
      <c r="Z14" s="16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183"/>
      <c r="AR14" s="24">
        <f>AA14*AA$4</f>
        <v>0</v>
      </c>
      <c r="AS14" s="24">
        <f t="shared" si="24"/>
        <v>0</v>
      </c>
      <c r="AT14" s="24">
        <f t="shared" si="34"/>
        <v>0</v>
      </c>
      <c r="AU14" s="24">
        <f t="shared" si="34"/>
        <v>0</v>
      </c>
      <c r="AV14" s="24">
        <f t="shared" si="34"/>
        <v>0</v>
      </c>
      <c r="AW14" s="24">
        <f t="shared" si="34"/>
        <v>0</v>
      </c>
      <c r="AX14" s="24">
        <f t="shared" si="28"/>
        <v>0</v>
      </c>
      <c r="AY14" s="24">
        <f t="shared" si="29"/>
        <v>0</v>
      </c>
      <c r="AZ14" s="24">
        <f t="shared" si="29"/>
        <v>0</v>
      </c>
      <c r="BA14" s="24">
        <f t="shared" si="30"/>
        <v>0</v>
      </c>
      <c r="BB14" s="24">
        <f t="shared" si="30"/>
        <v>0</v>
      </c>
      <c r="BC14" s="24">
        <f t="shared" si="30"/>
        <v>0</v>
      </c>
      <c r="BD14" s="24">
        <f t="shared" si="30"/>
        <v>0</v>
      </c>
      <c r="BE14" s="24">
        <f t="shared" si="30"/>
        <v>0</v>
      </c>
      <c r="BF14" s="24">
        <f t="shared" si="30"/>
        <v>0</v>
      </c>
      <c r="BG14" s="46">
        <f t="shared" si="30"/>
        <v>0</v>
      </c>
      <c r="BH14" s="41">
        <f t="shared" si="31"/>
        <v>0</v>
      </c>
      <c r="BI14" s="24">
        <f t="shared" si="32"/>
        <v>0</v>
      </c>
      <c r="BJ14" s="43">
        <f t="shared" si="17"/>
        <v>0</v>
      </c>
      <c r="BK14" s="44">
        <f t="shared" si="18"/>
        <v>0</v>
      </c>
    </row>
    <row r="15" spans="1:63" ht="12.75" customHeight="1" x14ac:dyDescent="0.2">
      <c r="A15" s="22">
        <v>11</v>
      </c>
      <c r="B15" s="161" t="s">
        <v>128</v>
      </c>
      <c r="C15" s="162" t="s">
        <v>129</v>
      </c>
      <c r="D15" s="162" t="str">
        <f t="shared" si="0"/>
        <v>Christinger Dominic</v>
      </c>
      <c r="E15" s="162" t="str">
        <f t="shared" si="20"/>
        <v>458094 (Christinger Dominic)</v>
      </c>
      <c r="F15" s="162" t="e">
        <f>VLOOKUP($E15,#REF!,1,0)</f>
        <v>#REF!</v>
      </c>
      <c r="G15" s="178">
        <v>458094</v>
      </c>
      <c r="H15" s="163">
        <v>33609</v>
      </c>
      <c r="I15" s="164">
        <f t="shared" si="21"/>
        <v>1992</v>
      </c>
      <c r="J15" s="165" t="str">
        <f t="shared" si="22"/>
        <v/>
      </c>
      <c r="K15" s="161" t="s">
        <v>130</v>
      </c>
      <c r="L15" s="161">
        <v>8254</v>
      </c>
      <c r="M15" s="161" t="s">
        <v>37</v>
      </c>
      <c r="N15" s="161" t="s">
        <v>183</v>
      </c>
      <c r="O15" s="161" t="s">
        <v>131</v>
      </c>
      <c r="P15" s="166" t="s">
        <v>162</v>
      </c>
      <c r="Q15" s="167">
        <v>90</v>
      </c>
      <c r="R15" s="168"/>
      <c r="S15" s="80"/>
      <c r="T15" s="23"/>
      <c r="U15" s="23"/>
      <c r="V15" s="23"/>
      <c r="W15" s="23"/>
      <c r="X15" s="23"/>
      <c r="Y15" s="23"/>
      <c r="Z15" s="16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29"/>
      <c r="AR15" s="24">
        <f>AA15*AA$4</f>
        <v>0</v>
      </c>
      <c r="AS15" s="24">
        <f t="shared" si="24"/>
        <v>0</v>
      </c>
      <c r="AT15" s="24">
        <f t="shared" si="34"/>
        <v>0</v>
      </c>
      <c r="AU15" s="24">
        <f t="shared" si="34"/>
        <v>0</v>
      </c>
      <c r="AV15" s="24">
        <f t="shared" si="34"/>
        <v>0</v>
      </c>
      <c r="AW15" s="24">
        <f t="shared" si="34"/>
        <v>0</v>
      </c>
      <c r="AX15" s="24">
        <f t="shared" si="28"/>
        <v>0</v>
      </c>
      <c r="AY15" s="24">
        <f t="shared" si="29"/>
        <v>0</v>
      </c>
      <c r="AZ15" s="24">
        <f t="shared" si="29"/>
        <v>0</v>
      </c>
      <c r="BA15" s="24">
        <f t="shared" si="30"/>
        <v>0</v>
      </c>
      <c r="BB15" s="24">
        <f t="shared" si="30"/>
        <v>0</v>
      </c>
      <c r="BC15" s="24">
        <f t="shared" si="30"/>
        <v>0</v>
      </c>
      <c r="BD15" s="24">
        <f t="shared" si="30"/>
        <v>0</v>
      </c>
      <c r="BE15" s="24">
        <f t="shared" si="30"/>
        <v>0</v>
      </c>
      <c r="BF15" s="24">
        <f t="shared" si="30"/>
        <v>0</v>
      </c>
      <c r="BG15" s="46">
        <f t="shared" si="30"/>
        <v>0</v>
      </c>
      <c r="BH15" s="24">
        <f t="shared" si="31"/>
        <v>0</v>
      </c>
      <c r="BI15" s="24">
        <f t="shared" si="32"/>
        <v>0</v>
      </c>
      <c r="BJ15" s="43">
        <f t="shared" si="17"/>
        <v>0</v>
      </c>
      <c r="BK15" s="44">
        <f t="shared" si="18"/>
        <v>0</v>
      </c>
    </row>
    <row r="16" spans="1:63" s="153" customFormat="1" ht="12.75" customHeight="1" x14ac:dyDescent="0.2">
      <c r="A16" s="22">
        <v>12</v>
      </c>
      <c r="B16" s="161" t="s">
        <v>128</v>
      </c>
      <c r="C16" s="162" t="s">
        <v>286</v>
      </c>
      <c r="D16" s="162" t="str">
        <f t="shared" si="0"/>
        <v>Christinger Luca</v>
      </c>
      <c r="E16" s="162" t="str">
        <f>$G16&amp;" ("&amp;D16&amp;")"</f>
        <v>785374 (Christinger Luca)</v>
      </c>
      <c r="F16" s="162" t="e">
        <f>VLOOKUP($E16,#REF!,1,0)</f>
        <v>#REF!</v>
      </c>
      <c r="G16" s="178">
        <v>785374</v>
      </c>
      <c r="H16" s="163">
        <v>35938</v>
      </c>
      <c r="I16" s="164">
        <f t="shared" si="21"/>
        <v>1998</v>
      </c>
      <c r="J16" s="165" t="str">
        <f t="shared" si="22"/>
        <v/>
      </c>
      <c r="K16" s="161" t="s">
        <v>130</v>
      </c>
      <c r="L16" s="161">
        <v>8254</v>
      </c>
      <c r="M16" s="161" t="s">
        <v>37</v>
      </c>
      <c r="N16" s="161" t="s">
        <v>287</v>
      </c>
      <c r="O16" s="161" t="s">
        <v>131</v>
      </c>
      <c r="P16" s="166" t="s">
        <v>289</v>
      </c>
      <c r="Q16" s="167">
        <v>90</v>
      </c>
      <c r="R16" s="168"/>
      <c r="S16" s="146"/>
      <c r="T16" s="144"/>
      <c r="U16" s="144"/>
      <c r="V16" s="144"/>
      <c r="W16" s="144"/>
      <c r="X16" s="144"/>
      <c r="Y16" s="144"/>
      <c r="Z16" s="147"/>
      <c r="AA16" s="147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8"/>
      <c r="AR16" s="149">
        <f>AA16*AA$4</f>
        <v>0</v>
      </c>
      <c r="AS16" s="149">
        <f>AB16*AB$4</f>
        <v>0</v>
      </c>
      <c r="AT16" s="149">
        <f t="shared" si="34"/>
        <v>0</v>
      </c>
      <c r="AU16" s="149">
        <f t="shared" si="34"/>
        <v>0</v>
      </c>
      <c r="AV16" s="149">
        <f t="shared" si="34"/>
        <v>0</v>
      </c>
      <c r="AW16" s="149">
        <f t="shared" si="34"/>
        <v>0</v>
      </c>
      <c r="AX16" s="149">
        <f>AG16*AG$4</f>
        <v>0</v>
      </c>
      <c r="AY16" s="149">
        <f>AH16*AH$4</f>
        <v>0</v>
      </c>
      <c r="AZ16" s="149">
        <f>AI16*AI$4</f>
        <v>0</v>
      </c>
      <c r="BA16" s="149">
        <f t="shared" ref="BA16:BG16" si="35">AJ16*AJ$4</f>
        <v>0</v>
      </c>
      <c r="BB16" s="149">
        <f t="shared" si="35"/>
        <v>0</v>
      </c>
      <c r="BC16" s="149">
        <f t="shared" si="35"/>
        <v>0</v>
      </c>
      <c r="BD16" s="149">
        <f t="shared" si="35"/>
        <v>0</v>
      </c>
      <c r="BE16" s="149">
        <f t="shared" si="35"/>
        <v>0</v>
      </c>
      <c r="BF16" s="149">
        <f t="shared" si="35"/>
        <v>0</v>
      </c>
      <c r="BG16" s="150">
        <f t="shared" si="35"/>
        <v>0</v>
      </c>
      <c r="BH16" s="149">
        <f t="shared" si="31"/>
        <v>0</v>
      </c>
      <c r="BI16" s="149">
        <f t="shared" si="32"/>
        <v>0</v>
      </c>
      <c r="BJ16" s="151">
        <f t="shared" si="17"/>
        <v>0</v>
      </c>
      <c r="BK16" s="152">
        <f t="shared" si="18"/>
        <v>0</v>
      </c>
    </row>
    <row r="17" spans="1:63" ht="12.75" customHeight="1" x14ac:dyDescent="0.2">
      <c r="A17" s="22">
        <v>13</v>
      </c>
      <c r="B17" s="161" t="s">
        <v>185</v>
      </c>
      <c r="C17" s="162" t="s">
        <v>53</v>
      </c>
      <c r="D17" s="162" t="str">
        <f t="shared" si="0"/>
        <v>Fehrle Manuel</v>
      </c>
      <c r="E17" s="162" t="str">
        <f t="shared" si="20"/>
        <v>704170 (Fehrle Manuel)</v>
      </c>
      <c r="F17" s="162" t="e">
        <f>VLOOKUP($E17,#REF!,1,0)</f>
        <v>#REF!</v>
      </c>
      <c r="G17" s="178">
        <v>704170</v>
      </c>
      <c r="H17" s="163">
        <v>35447</v>
      </c>
      <c r="I17" s="164">
        <f t="shared" si="21"/>
        <v>1997</v>
      </c>
      <c r="J17" s="165" t="str">
        <f t="shared" si="22"/>
        <v/>
      </c>
      <c r="K17" s="161" t="s">
        <v>336</v>
      </c>
      <c r="L17" s="161">
        <v>8546</v>
      </c>
      <c r="M17" s="161" t="s">
        <v>337</v>
      </c>
      <c r="N17" s="161" t="s">
        <v>186</v>
      </c>
      <c r="O17" s="161" t="s">
        <v>388</v>
      </c>
      <c r="P17" s="166" t="s">
        <v>335</v>
      </c>
      <c r="Q17" s="167">
        <v>90</v>
      </c>
      <c r="R17" s="168"/>
      <c r="S17" s="80"/>
      <c r="T17" s="64"/>
      <c r="U17" s="64"/>
      <c r="V17" s="23"/>
      <c r="W17" s="23"/>
      <c r="X17" s="23"/>
      <c r="Y17" s="23"/>
      <c r="Z17" s="39"/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29"/>
      <c r="AR17" s="24">
        <f t="shared" si="23"/>
        <v>0</v>
      </c>
      <c r="AS17" s="24">
        <f t="shared" si="24"/>
        <v>0</v>
      </c>
      <c r="AT17" s="24">
        <f t="shared" si="25"/>
        <v>0</v>
      </c>
      <c r="AU17" s="24">
        <f t="shared" si="26"/>
        <v>0</v>
      </c>
      <c r="AV17" s="24">
        <f t="shared" si="26"/>
        <v>0</v>
      </c>
      <c r="AW17" s="24">
        <f t="shared" si="27"/>
        <v>0</v>
      </c>
      <c r="AX17" s="24">
        <f t="shared" si="28"/>
        <v>0</v>
      </c>
      <c r="AY17" s="24">
        <f t="shared" si="29"/>
        <v>0</v>
      </c>
      <c r="AZ17" s="24">
        <f t="shared" si="29"/>
        <v>0</v>
      </c>
      <c r="BA17" s="24">
        <f t="shared" si="30"/>
        <v>0</v>
      </c>
      <c r="BB17" s="24">
        <f t="shared" si="30"/>
        <v>0</v>
      </c>
      <c r="BC17" s="24">
        <f t="shared" si="30"/>
        <v>0</v>
      </c>
      <c r="BD17" s="24">
        <f t="shared" si="30"/>
        <v>0</v>
      </c>
      <c r="BE17" s="24">
        <f t="shared" si="30"/>
        <v>0</v>
      </c>
      <c r="BF17" s="24">
        <f t="shared" si="30"/>
        <v>0</v>
      </c>
      <c r="BG17" s="46">
        <f t="shared" si="30"/>
        <v>0</v>
      </c>
      <c r="BH17" s="24">
        <f t="shared" si="31"/>
        <v>0</v>
      </c>
      <c r="BI17" s="24">
        <f t="shared" si="32"/>
        <v>0</v>
      </c>
      <c r="BJ17" s="43">
        <f t="shared" si="17"/>
        <v>0</v>
      </c>
      <c r="BK17" s="44">
        <f t="shared" si="18"/>
        <v>0</v>
      </c>
    </row>
    <row r="18" spans="1:63" ht="12.75" customHeight="1" x14ac:dyDescent="0.2">
      <c r="A18" s="22">
        <v>14</v>
      </c>
      <c r="B18" s="22" t="s">
        <v>31</v>
      </c>
      <c r="C18" s="51" t="s">
        <v>32</v>
      </c>
      <c r="D18" s="51" t="str">
        <f t="shared" si="0"/>
        <v>Fiechter Paul</v>
      </c>
      <c r="E18" s="51" t="str">
        <f t="shared" si="20"/>
        <v>160591 (Fiechter Paul)</v>
      </c>
      <c r="F18" s="51" t="e">
        <f>VLOOKUP($E18,#REF!,1,0)</f>
        <v>#REF!</v>
      </c>
      <c r="G18" s="177">
        <v>160591</v>
      </c>
      <c r="H18" s="53">
        <v>17223</v>
      </c>
      <c r="I18" s="54">
        <f t="shared" si="21"/>
        <v>1947</v>
      </c>
      <c r="J18" s="55" t="str">
        <f t="shared" si="22"/>
        <v>SV</v>
      </c>
      <c r="K18" s="22" t="s">
        <v>192</v>
      </c>
      <c r="L18" s="22">
        <v>8253</v>
      </c>
      <c r="M18" s="22" t="s">
        <v>33</v>
      </c>
      <c r="N18" s="22" t="s">
        <v>469</v>
      </c>
      <c r="O18" s="22" t="s">
        <v>34</v>
      </c>
      <c r="P18" s="56" t="s">
        <v>278</v>
      </c>
      <c r="Q18" s="15" t="s">
        <v>20</v>
      </c>
      <c r="R18" s="57">
        <v>2</v>
      </c>
      <c r="S18" s="189"/>
      <c r="T18" s="64"/>
      <c r="U18" s="64"/>
      <c r="V18" s="23"/>
      <c r="W18" s="23"/>
      <c r="X18" s="23"/>
      <c r="Y18" s="184"/>
      <c r="Z18" s="16"/>
      <c r="AA18" s="39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182"/>
      <c r="AR18" s="24">
        <f t="shared" si="23"/>
        <v>0</v>
      </c>
      <c r="AS18" s="24">
        <f t="shared" si="24"/>
        <v>0</v>
      </c>
      <c r="AT18" s="24">
        <f t="shared" si="25"/>
        <v>0</v>
      </c>
      <c r="AU18" s="24">
        <f t="shared" si="26"/>
        <v>0</v>
      </c>
      <c r="AV18" s="24">
        <f t="shared" si="26"/>
        <v>0</v>
      </c>
      <c r="AW18" s="24">
        <f t="shared" si="27"/>
        <v>0</v>
      </c>
      <c r="AX18" s="24">
        <f t="shared" si="28"/>
        <v>0</v>
      </c>
      <c r="AY18" s="24">
        <f t="shared" si="29"/>
        <v>0</v>
      </c>
      <c r="AZ18" s="24">
        <f t="shared" si="29"/>
        <v>0</v>
      </c>
      <c r="BA18" s="24">
        <f t="shared" si="30"/>
        <v>0</v>
      </c>
      <c r="BB18" s="24">
        <f t="shared" si="30"/>
        <v>0</v>
      </c>
      <c r="BC18" s="24">
        <f t="shared" si="30"/>
        <v>0</v>
      </c>
      <c r="BD18" s="24">
        <f t="shared" si="30"/>
        <v>0</v>
      </c>
      <c r="BE18" s="24">
        <f t="shared" si="30"/>
        <v>0</v>
      </c>
      <c r="BF18" s="24">
        <f t="shared" si="30"/>
        <v>0</v>
      </c>
      <c r="BG18" s="46">
        <f t="shared" si="30"/>
        <v>0</v>
      </c>
      <c r="BH18" s="41">
        <f t="shared" si="31"/>
        <v>0</v>
      </c>
      <c r="BI18" s="24">
        <f t="shared" si="32"/>
        <v>0</v>
      </c>
      <c r="BJ18" s="43">
        <f t="shared" si="17"/>
        <v>0</v>
      </c>
      <c r="BK18" s="44">
        <f t="shared" si="18"/>
        <v>0</v>
      </c>
    </row>
    <row r="19" spans="1:63" ht="12.75" customHeight="1" x14ac:dyDescent="0.2">
      <c r="A19" s="22">
        <v>15</v>
      </c>
      <c r="B19" s="22" t="s">
        <v>300</v>
      </c>
      <c r="C19" s="51" t="s">
        <v>301</v>
      </c>
      <c r="D19" s="51" t="str">
        <f t="shared" si="0"/>
        <v>Flückiger Sandro</v>
      </c>
      <c r="E19" s="51" t="str">
        <f t="shared" si="20"/>
        <v>830100 (Flückiger Sandro)</v>
      </c>
      <c r="F19" s="51" t="e">
        <f>VLOOKUP($E19,#REF!,1,0)</f>
        <v>#REF!</v>
      </c>
      <c r="G19" s="177">
        <v>830100</v>
      </c>
      <c r="H19" s="53">
        <v>37066</v>
      </c>
      <c r="I19" s="54">
        <f t="shared" si="21"/>
        <v>2001</v>
      </c>
      <c r="J19" s="55" t="str">
        <f t="shared" ref="J19:J29" si="36">IF(YEAR($K$1)-I19&lt;=14,"JJ",IF(YEAR($K$1)-I19&lt;=20,"J",IF(YEAR($K$1)-I19&gt;=70,"SV",IF(YEAR($K$1)-I19&gt;=60,"V",""))))</f>
        <v/>
      </c>
      <c r="K19" s="22" t="s">
        <v>304</v>
      </c>
      <c r="L19" s="22">
        <v>8255</v>
      </c>
      <c r="M19" s="22" t="s">
        <v>158</v>
      </c>
      <c r="N19" s="22" t="s">
        <v>302</v>
      </c>
      <c r="O19" s="22"/>
      <c r="P19" s="56" t="s">
        <v>303</v>
      </c>
      <c r="Q19" s="15">
        <v>90</v>
      </c>
      <c r="R19" s="57"/>
      <c r="S19" s="80"/>
      <c r="T19" s="23"/>
      <c r="U19" s="23"/>
      <c r="V19" s="23"/>
      <c r="W19" s="23"/>
      <c r="X19" s="23"/>
      <c r="Y19" s="23"/>
      <c r="Z19" s="16"/>
      <c r="AA19" s="39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29"/>
      <c r="AR19" s="24">
        <f t="shared" si="23"/>
        <v>0</v>
      </c>
      <c r="AS19" s="24">
        <f t="shared" si="24"/>
        <v>0</v>
      </c>
      <c r="AT19" s="24">
        <f t="shared" si="25"/>
        <v>0</v>
      </c>
      <c r="AU19" s="24">
        <f t="shared" si="26"/>
        <v>0</v>
      </c>
      <c r="AV19" s="24">
        <f t="shared" si="26"/>
        <v>0</v>
      </c>
      <c r="AW19" s="24">
        <f t="shared" si="27"/>
        <v>0</v>
      </c>
      <c r="AX19" s="24">
        <f t="shared" si="28"/>
        <v>0</v>
      </c>
      <c r="AY19" s="24">
        <f t="shared" si="29"/>
        <v>0</v>
      </c>
      <c r="AZ19" s="24">
        <f t="shared" si="29"/>
        <v>0</v>
      </c>
      <c r="BA19" s="24">
        <f t="shared" si="30"/>
        <v>0</v>
      </c>
      <c r="BB19" s="24">
        <f t="shared" si="30"/>
        <v>0</v>
      </c>
      <c r="BC19" s="24">
        <f t="shared" si="30"/>
        <v>0</v>
      </c>
      <c r="BD19" s="24">
        <f t="shared" si="30"/>
        <v>0</v>
      </c>
      <c r="BE19" s="24">
        <f t="shared" si="30"/>
        <v>0</v>
      </c>
      <c r="BF19" s="24">
        <f t="shared" si="30"/>
        <v>0</v>
      </c>
      <c r="BG19" s="46">
        <f t="shared" si="30"/>
        <v>0</v>
      </c>
      <c r="BH19" s="41">
        <f t="shared" si="31"/>
        <v>0</v>
      </c>
      <c r="BI19" s="24">
        <f t="shared" si="32"/>
        <v>0</v>
      </c>
      <c r="BJ19" s="43">
        <f t="shared" si="17"/>
        <v>0</v>
      </c>
      <c r="BK19" s="44">
        <f t="shared" si="18"/>
        <v>0</v>
      </c>
    </row>
    <row r="20" spans="1:63" ht="12.75" customHeight="1" x14ac:dyDescent="0.2">
      <c r="A20" s="22">
        <v>16</v>
      </c>
      <c r="B20" s="161" t="s">
        <v>378</v>
      </c>
      <c r="C20" s="162" t="s">
        <v>379</v>
      </c>
      <c r="D20" s="162" t="str">
        <f t="shared" si="0"/>
        <v>Fuchs Silvan</v>
      </c>
      <c r="E20" s="162" t="str">
        <f t="shared" ref="E20:E29" si="37">$G20&amp;" ("&amp;D20&amp;")"</f>
        <v>945236 (Fuchs Silvan)</v>
      </c>
      <c r="F20" s="162" t="e">
        <f>VLOOKUP($E20,#REF!,1,0)</f>
        <v>#REF!</v>
      </c>
      <c r="G20" s="178">
        <v>945236</v>
      </c>
      <c r="H20" s="163">
        <v>38202</v>
      </c>
      <c r="I20" s="164">
        <f t="shared" si="21"/>
        <v>2004</v>
      </c>
      <c r="J20" s="165" t="str">
        <f t="shared" si="36"/>
        <v>J</v>
      </c>
      <c r="K20" s="161" t="s">
        <v>380</v>
      </c>
      <c r="L20" s="161">
        <v>8255</v>
      </c>
      <c r="M20" s="161" t="s">
        <v>158</v>
      </c>
      <c r="N20" s="161"/>
      <c r="O20" s="161"/>
      <c r="P20" s="166"/>
      <c r="Q20" s="167">
        <v>90</v>
      </c>
      <c r="R20" s="168"/>
      <c r="S20" s="80"/>
      <c r="T20" s="23"/>
      <c r="U20" s="23"/>
      <c r="V20" s="23"/>
      <c r="W20" s="23"/>
      <c r="X20" s="23"/>
      <c r="Y20" s="23"/>
      <c r="Z20" s="16"/>
      <c r="AA20" s="39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29"/>
      <c r="AR20" s="24">
        <f t="shared" ref="AR20:AZ23" si="38">AA20*AA$4</f>
        <v>0</v>
      </c>
      <c r="AS20" s="24">
        <f t="shared" si="38"/>
        <v>0</v>
      </c>
      <c r="AT20" s="24">
        <f t="shared" si="38"/>
        <v>0</v>
      </c>
      <c r="AU20" s="24">
        <f t="shared" si="38"/>
        <v>0</v>
      </c>
      <c r="AV20" s="24">
        <f t="shared" si="38"/>
        <v>0</v>
      </c>
      <c r="AW20" s="24">
        <f t="shared" si="38"/>
        <v>0</v>
      </c>
      <c r="AX20" s="24">
        <f t="shared" si="38"/>
        <v>0</v>
      </c>
      <c r="AY20" s="24">
        <f t="shared" si="38"/>
        <v>0</v>
      </c>
      <c r="AZ20" s="24">
        <f t="shared" si="38"/>
        <v>0</v>
      </c>
      <c r="BA20" s="24">
        <f t="shared" ref="BA20:BG23" si="39">AJ20*AJ$4</f>
        <v>0</v>
      </c>
      <c r="BB20" s="24">
        <f t="shared" si="39"/>
        <v>0</v>
      </c>
      <c r="BC20" s="24">
        <f t="shared" si="39"/>
        <v>0</v>
      </c>
      <c r="BD20" s="24">
        <f t="shared" si="39"/>
        <v>0</v>
      </c>
      <c r="BE20" s="24">
        <f t="shared" si="39"/>
        <v>0</v>
      </c>
      <c r="BF20" s="24">
        <f t="shared" si="39"/>
        <v>0</v>
      </c>
      <c r="BG20" s="46">
        <f t="shared" si="39"/>
        <v>0</v>
      </c>
      <c r="BH20" s="41">
        <f t="shared" si="31"/>
        <v>0</v>
      </c>
      <c r="BI20" s="24">
        <f t="shared" si="32"/>
        <v>0</v>
      </c>
      <c r="BJ20" s="43">
        <f t="shared" si="17"/>
        <v>0</v>
      </c>
      <c r="BK20" s="44">
        <f t="shared" si="18"/>
        <v>0</v>
      </c>
    </row>
    <row r="21" spans="1:63" ht="12.75" customHeight="1" x14ac:dyDescent="0.2">
      <c r="A21" s="22">
        <v>17</v>
      </c>
      <c r="B21" s="23" t="s">
        <v>323</v>
      </c>
      <c r="C21" s="187" t="s">
        <v>463</v>
      </c>
      <c r="D21" s="51" t="str">
        <f>$B21&amp;" "&amp;$C21</f>
        <v>Geissner Alexandra</v>
      </c>
      <c r="E21" s="51" t="str">
        <f>$G21&amp;" ("&amp;D21&amp;")"</f>
        <v>021651 (Geissner Alexandra)</v>
      </c>
      <c r="F21" s="51" t="e">
        <f>VLOOKUP($E21,#REF!,1,0)</f>
        <v>#REF!</v>
      </c>
      <c r="G21" s="172" t="s">
        <v>464</v>
      </c>
      <c r="H21" s="53">
        <v>38509</v>
      </c>
      <c r="I21" s="54">
        <f>YEAR(H21)</f>
        <v>2005</v>
      </c>
      <c r="J21" s="55" t="str">
        <f>IF(YEAR($K$1)-I21&lt;=14,"JJ",IF(YEAR($K$1)-I21&lt;=20,"J",IF(YEAR($K$1)-I21&gt;=70,"SV",IF(YEAR($K$1)-I21&gt;=60,"V",""))))</f>
        <v>J</v>
      </c>
      <c r="K21" s="184" t="s">
        <v>465</v>
      </c>
      <c r="L21" s="22">
        <v>8962</v>
      </c>
      <c r="M21" s="184" t="s">
        <v>466</v>
      </c>
      <c r="N21" s="22" t="s">
        <v>467</v>
      </c>
      <c r="O21" s="22"/>
      <c r="P21" s="56" t="s">
        <v>468</v>
      </c>
      <c r="Q21" s="15">
        <v>90</v>
      </c>
      <c r="R21" s="57"/>
      <c r="S21" s="80"/>
      <c r="T21" s="64"/>
      <c r="U21" s="64"/>
      <c r="V21" s="23"/>
      <c r="W21" s="23"/>
      <c r="X21" s="23"/>
      <c r="Y21" s="184"/>
      <c r="Z21" s="16"/>
      <c r="AA21" s="39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183"/>
      <c r="AR21" s="24">
        <f t="shared" ref="AR21:BG21" si="40">AA21*AA$4</f>
        <v>0</v>
      </c>
      <c r="AS21" s="24">
        <f t="shared" si="40"/>
        <v>0</v>
      </c>
      <c r="AT21" s="24">
        <f t="shared" si="40"/>
        <v>0</v>
      </c>
      <c r="AU21" s="24">
        <f t="shared" si="40"/>
        <v>0</v>
      </c>
      <c r="AV21" s="24">
        <f t="shared" si="40"/>
        <v>0</v>
      </c>
      <c r="AW21" s="24">
        <f t="shared" si="40"/>
        <v>0</v>
      </c>
      <c r="AX21" s="24">
        <f t="shared" si="40"/>
        <v>0</v>
      </c>
      <c r="AY21" s="24">
        <f t="shared" si="40"/>
        <v>0</v>
      </c>
      <c r="AZ21" s="24">
        <f t="shared" si="40"/>
        <v>0</v>
      </c>
      <c r="BA21" s="24">
        <f t="shared" si="40"/>
        <v>0</v>
      </c>
      <c r="BB21" s="24">
        <f t="shared" si="40"/>
        <v>0</v>
      </c>
      <c r="BC21" s="24">
        <f t="shared" si="40"/>
        <v>0</v>
      </c>
      <c r="BD21" s="24">
        <f t="shared" si="40"/>
        <v>0</v>
      </c>
      <c r="BE21" s="24">
        <f t="shared" si="40"/>
        <v>0</v>
      </c>
      <c r="BF21" s="24">
        <f t="shared" si="40"/>
        <v>0</v>
      </c>
      <c r="BG21" s="46">
        <f t="shared" si="40"/>
        <v>0</v>
      </c>
      <c r="BH21" s="24">
        <f>SUM(AR21:BE21)</f>
        <v>0</v>
      </c>
      <c r="BI21" s="24">
        <f>SUM(AR21:BG21)</f>
        <v>0</v>
      </c>
      <c r="BJ21" s="43">
        <f>ROUNDUP($BH21/20,0)+$AO21*4+$AP21*5</f>
        <v>0</v>
      </c>
      <c r="BK21" s="44">
        <f>$AO21*4+$AP21*5</f>
        <v>0</v>
      </c>
    </row>
    <row r="22" spans="1:63" ht="12.75" customHeight="1" x14ac:dyDescent="0.2">
      <c r="A22" s="22">
        <v>18</v>
      </c>
      <c r="B22" s="23" t="s">
        <v>323</v>
      </c>
      <c r="C22" s="58" t="s">
        <v>324</v>
      </c>
      <c r="D22" s="51" t="str">
        <f t="shared" ref="D22:D28" si="41">$B22&amp;" "&amp;$C22</f>
        <v>Geissner Chiara</v>
      </c>
      <c r="E22" s="51" t="str">
        <f>$G22&amp;" ("&amp;D22&amp;")"</f>
        <v>878943 (Geissner Chiara)</v>
      </c>
      <c r="F22" s="51" t="e">
        <f>VLOOKUP($E22,#REF!,1,0)</f>
        <v>#REF!</v>
      </c>
      <c r="G22" s="177">
        <v>878943</v>
      </c>
      <c r="H22" s="53">
        <v>36034</v>
      </c>
      <c r="I22" s="54">
        <f>YEAR(H22)</f>
        <v>1998</v>
      </c>
      <c r="J22" s="55" t="str">
        <f>IF(YEAR($K$1)-I22&lt;=14,"JJ",IF(YEAR($K$1)-I22&lt;=20,"J",IF(YEAR($K$1)-I22&gt;=70,"SV",IF(YEAR($K$1)-I22&gt;=60,"V",""))))</f>
        <v/>
      </c>
      <c r="K22" s="23" t="s">
        <v>387</v>
      </c>
      <c r="L22" s="22">
        <v>8253</v>
      </c>
      <c r="M22" s="23" t="s">
        <v>33</v>
      </c>
      <c r="N22" s="22" t="s">
        <v>325</v>
      </c>
      <c r="O22" s="22" t="s">
        <v>340</v>
      </c>
      <c r="P22" s="56" t="s">
        <v>359</v>
      </c>
      <c r="Q22" s="15">
        <v>90</v>
      </c>
      <c r="R22" s="57"/>
      <c r="S22" s="80"/>
      <c r="T22" s="64"/>
      <c r="U22" s="64"/>
      <c r="V22" s="23"/>
      <c r="W22" s="23"/>
      <c r="X22" s="23"/>
      <c r="Y22" s="184"/>
      <c r="Z22" s="16"/>
      <c r="AA22" s="39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183"/>
      <c r="AR22" s="24">
        <f t="shared" si="38"/>
        <v>0</v>
      </c>
      <c r="AS22" s="24">
        <f t="shared" si="38"/>
        <v>0</v>
      </c>
      <c r="AT22" s="24">
        <f t="shared" si="38"/>
        <v>0</v>
      </c>
      <c r="AU22" s="24">
        <f t="shared" si="38"/>
        <v>0</v>
      </c>
      <c r="AV22" s="24">
        <f t="shared" si="38"/>
        <v>0</v>
      </c>
      <c r="AW22" s="24">
        <f t="shared" si="38"/>
        <v>0</v>
      </c>
      <c r="AX22" s="24">
        <f t="shared" si="38"/>
        <v>0</v>
      </c>
      <c r="AY22" s="24">
        <f t="shared" si="38"/>
        <v>0</v>
      </c>
      <c r="AZ22" s="24">
        <f t="shared" si="38"/>
        <v>0</v>
      </c>
      <c r="BA22" s="24">
        <f t="shared" si="39"/>
        <v>0</v>
      </c>
      <c r="BB22" s="24">
        <f t="shared" si="39"/>
        <v>0</v>
      </c>
      <c r="BC22" s="24">
        <f t="shared" si="39"/>
        <v>0</v>
      </c>
      <c r="BD22" s="24">
        <f t="shared" si="39"/>
        <v>0</v>
      </c>
      <c r="BE22" s="24">
        <f t="shared" si="39"/>
        <v>0</v>
      </c>
      <c r="BF22" s="24">
        <f t="shared" si="39"/>
        <v>0</v>
      </c>
      <c r="BG22" s="46">
        <f t="shared" si="39"/>
        <v>0</v>
      </c>
      <c r="BH22" s="24">
        <f>SUM(AR22:BE22)</f>
        <v>0</v>
      </c>
      <c r="BI22" s="24">
        <f>SUM(AR22:BG22)</f>
        <v>0</v>
      </c>
      <c r="BJ22" s="43">
        <f t="shared" ref="BJ22:BJ28" si="42">ROUNDUP($BH22/20,0)+$AO22*4+$AP22*5</f>
        <v>0</v>
      </c>
      <c r="BK22" s="44">
        <f t="shared" ref="BK22:BK28" si="43">$AO22*4+$AP22*5</f>
        <v>0</v>
      </c>
    </row>
    <row r="23" spans="1:63" ht="12.75" customHeight="1" x14ac:dyDescent="0.2">
      <c r="A23" s="22">
        <v>19</v>
      </c>
      <c r="B23" s="23" t="s">
        <v>399</v>
      </c>
      <c r="C23" s="58" t="s">
        <v>177</v>
      </c>
      <c r="D23" s="51" t="str">
        <f t="shared" si="41"/>
        <v>Gouvinhas Joel</v>
      </c>
      <c r="E23" s="51" t="str">
        <f>$G23&amp;" ("&amp;D23&amp;")"</f>
        <v>002495 (Gouvinhas Joel)</v>
      </c>
      <c r="F23" s="51" t="e">
        <f>VLOOKUP($E23,#REF!,1,0)</f>
        <v>#REF!</v>
      </c>
      <c r="G23" s="171" t="s">
        <v>415</v>
      </c>
      <c r="H23" s="53">
        <v>40130</v>
      </c>
      <c r="I23" s="54">
        <f t="shared" si="21"/>
        <v>2009</v>
      </c>
      <c r="J23" s="55" t="str">
        <f>IF(YEAR($K$1)-I23&lt;=14,"JJ",IF(YEAR($K$1)-I23&lt;=20,"J",IF(YEAR($K$1)-I23&gt;=70,"SV",IF(YEAR($K$1)-I23&gt;=60,"V",""))))</f>
        <v>J</v>
      </c>
      <c r="K23" s="23" t="s">
        <v>400</v>
      </c>
      <c r="L23" s="22">
        <v>8253</v>
      </c>
      <c r="M23" s="23" t="s">
        <v>33</v>
      </c>
      <c r="N23" s="22"/>
      <c r="O23" s="22"/>
      <c r="P23" s="56"/>
      <c r="Q23" s="15">
        <v>90</v>
      </c>
      <c r="R23" s="57">
        <v>2</v>
      </c>
      <c r="S23" s="80"/>
      <c r="T23" s="64"/>
      <c r="U23" s="64"/>
      <c r="V23" s="23"/>
      <c r="W23" s="23"/>
      <c r="X23" s="23"/>
      <c r="Y23" s="23"/>
      <c r="Z23" s="16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29"/>
      <c r="AR23" s="24">
        <f t="shared" si="38"/>
        <v>0</v>
      </c>
      <c r="AS23" s="24">
        <f t="shared" si="38"/>
        <v>0</v>
      </c>
      <c r="AT23" s="24">
        <f t="shared" si="38"/>
        <v>0</v>
      </c>
      <c r="AU23" s="24">
        <f t="shared" si="38"/>
        <v>0</v>
      </c>
      <c r="AV23" s="24">
        <f t="shared" si="38"/>
        <v>0</v>
      </c>
      <c r="AW23" s="24">
        <f t="shared" si="38"/>
        <v>0</v>
      </c>
      <c r="AX23" s="24">
        <f t="shared" si="38"/>
        <v>0</v>
      </c>
      <c r="AY23" s="24">
        <f t="shared" si="38"/>
        <v>0</v>
      </c>
      <c r="AZ23" s="24">
        <f t="shared" si="38"/>
        <v>0</v>
      </c>
      <c r="BA23" s="24">
        <f t="shared" si="39"/>
        <v>0</v>
      </c>
      <c r="BB23" s="24">
        <f t="shared" si="39"/>
        <v>0</v>
      </c>
      <c r="BC23" s="24">
        <f t="shared" si="39"/>
        <v>0</v>
      </c>
      <c r="BD23" s="24">
        <f t="shared" si="39"/>
        <v>0</v>
      </c>
      <c r="BE23" s="24">
        <f t="shared" si="39"/>
        <v>0</v>
      </c>
      <c r="BF23" s="24">
        <f t="shared" si="39"/>
        <v>0</v>
      </c>
      <c r="BG23" s="46">
        <f t="shared" si="39"/>
        <v>0</v>
      </c>
      <c r="BH23" s="24">
        <f t="shared" si="31"/>
        <v>0</v>
      </c>
      <c r="BI23" s="24">
        <f t="shared" si="32"/>
        <v>0</v>
      </c>
      <c r="BJ23" s="43">
        <f t="shared" si="42"/>
        <v>0</v>
      </c>
      <c r="BK23" s="44">
        <f t="shared" si="43"/>
        <v>0</v>
      </c>
    </row>
    <row r="24" spans="1:63" ht="12.75" customHeight="1" x14ac:dyDescent="0.2">
      <c r="A24" s="22">
        <v>20</v>
      </c>
      <c r="B24" s="23" t="s">
        <v>395</v>
      </c>
      <c r="C24" s="58" t="s">
        <v>418</v>
      </c>
      <c r="D24" s="51" t="str">
        <f t="shared" si="41"/>
        <v>Griadounov Dmitri</v>
      </c>
      <c r="E24" s="51" t="str">
        <f t="shared" si="37"/>
        <v>987475 (Griadounov Dmitri)</v>
      </c>
      <c r="F24" s="51" t="e">
        <f>VLOOKUP($E24,#REF!,1,0)</f>
        <v>#REF!</v>
      </c>
      <c r="G24" s="177">
        <v>987475</v>
      </c>
      <c r="H24" s="53">
        <v>27218</v>
      </c>
      <c r="I24" s="54">
        <f t="shared" si="21"/>
        <v>1974</v>
      </c>
      <c r="J24" s="55" t="str">
        <f t="shared" si="36"/>
        <v/>
      </c>
      <c r="K24" s="23" t="s">
        <v>396</v>
      </c>
      <c r="L24" s="22">
        <v>8254</v>
      </c>
      <c r="M24" s="23" t="s">
        <v>37</v>
      </c>
      <c r="N24" s="22" t="s">
        <v>420</v>
      </c>
      <c r="O24" s="22" t="s">
        <v>419</v>
      </c>
      <c r="P24" s="56" t="s">
        <v>453</v>
      </c>
      <c r="Q24" s="15">
        <v>90</v>
      </c>
      <c r="R24" s="57">
        <v>3</v>
      </c>
      <c r="S24" s="189" t="s">
        <v>365</v>
      </c>
      <c r="T24" s="64"/>
      <c r="U24" s="64"/>
      <c r="V24" s="23"/>
      <c r="W24" s="23">
        <v>1</v>
      </c>
      <c r="X24" s="184">
        <v>1</v>
      </c>
      <c r="Y24" s="184" t="s">
        <v>486</v>
      </c>
      <c r="Z24" s="16"/>
      <c r="AA24" s="39">
        <v>2</v>
      </c>
      <c r="AB24" s="40">
        <v>1</v>
      </c>
      <c r="AC24" s="40">
        <v>1</v>
      </c>
      <c r="AD24" s="40"/>
      <c r="AE24" s="40"/>
      <c r="AF24" s="40">
        <v>1</v>
      </c>
      <c r="AG24" s="40">
        <v>1</v>
      </c>
      <c r="AH24" s="40">
        <v>1</v>
      </c>
      <c r="AI24" s="40">
        <v>1</v>
      </c>
      <c r="AJ24" s="40"/>
      <c r="AK24" s="40"/>
      <c r="AL24" s="40"/>
      <c r="AM24" s="40"/>
      <c r="AN24" s="40">
        <v>1</v>
      </c>
      <c r="AO24" s="40">
        <v>1</v>
      </c>
      <c r="AP24" s="40"/>
      <c r="AQ24" s="183" t="s">
        <v>27</v>
      </c>
      <c r="AR24" s="24">
        <f t="shared" ref="AR24:AV29" si="44">AA24*AA$4</f>
        <v>10</v>
      </c>
      <c r="AS24" s="24">
        <f t="shared" si="44"/>
        <v>10</v>
      </c>
      <c r="AT24" s="24">
        <f t="shared" si="44"/>
        <v>5</v>
      </c>
      <c r="AU24" s="24">
        <f t="shared" si="44"/>
        <v>0</v>
      </c>
      <c r="AV24" s="24">
        <f t="shared" si="44"/>
        <v>0</v>
      </c>
      <c r="AW24" s="24">
        <f t="shared" ref="AW24:AZ29" si="45">AF24*AF$4</f>
        <v>6</v>
      </c>
      <c r="AX24" s="24">
        <f t="shared" si="45"/>
        <v>6</v>
      </c>
      <c r="AY24" s="24">
        <f t="shared" si="45"/>
        <v>6</v>
      </c>
      <c r="AZ24" s="24">
        <f t="shared" si="45"/>
        <v>6</v>
      </c>
      <c r="BA24" s="24">
        <f t="shared" si="30"/>
        <v>0</v>
      </c>
      <c r="BB24" s="24">
        <f t="shared" si="30"/>
        <v>0</v>
      </c>
      <c r="BC24" s="24">
        <f t="shared" si="30"/>
        <v>0</v>
      </c>
      <c r="BD24" s="24">
        <f t="shared" si="30"/>
        <v>0</v>
      </c>
      <c r="BE24" s="24">
        <f t="shared" si="30"/>
        <v>2</v>
      </c>
      <c r="BF24" s="24">
        <f t="shared" si="30"/>
        <v>60</v>
      </c>
      <c r="BG24" s="46">
        <f t="shared" si="30"/>
        <v>0</v>
      </c>
      <c r="BH24" s="24">
        <f t="shared" si="31"/>
        <v>51</v>
      </c>
      <c r="BI24" s="24">
        <f t="shared" si="32"/>
        <v>111</v>
      </c>
      <c r="BJ24" s="43">
        <f t="shared" si="42"/>
        <v>7</v>
      </c>
      <c r="BK24" s="44">
        <f t="shared" si="43"/>
        <v>4</v>
      </c>
    </row>
    <row r="25" spans="1:63" ht="12.75" customHeight="1" x14ac:dyDescent="0.2">
      <c r="A25" s="22">
        <v>21</v>
      </c>
      <c r="B25" s="23" t="s">
        <v>395</v>
      </c>
      <c r="C25" s="58" t="s">
        <v>397</v>
      </c>
      <c r="D25" s="51" t="str">
        <f t="shared" si="41"/>
        <v>Griadounov Grigori</v>
      </c>
      <c r="E25" s="51" t="str">
        <f t="shared" si="37"/>
        <v>894775 (Griadounov Grigori)</v>
      </c>
      <c r="F25" s="51" t="e">
        <f>VLOOKUP($E25,#REF!,1,0)</f>
        <v>#REF!</v>
      </c>
      <c r="G25" s="177">
        <v>894775</v>
      </c>
      <c r="H25" s="53">
        <v>35756</v>
      </c>
      <c r="I25" s="54">
        <f t="shared" si="21"/>
        <v>1997</v>
      </c>
      <c r="J25" s="55" t="str">
        <f t="shared" si="36"/>
        <v/>
      </c>
      <c r="K25" s="23" t="s">
        <v>396</v>
      </c>
      <c r="L25" s="22">
        <v>8254</v>
      </c>
      <c r="M25" s="23" t="s">
        <v>37</v>
      </c>
      <c r="N25" s="22" t="s">
        <v>421</v>
      </c>
      <c r="O25" s="22"/>
      <c r="P25" s="56" t="s">
        <v>470</v>
      </c>
      <c r="Q25" s="15">
        <v>90</v>
      </c>
      <c r="R25" s="57">
        <v>3</v>
      </c>
      <c r="S25" s="189" t="s">
        <v>365</v>
      </c>
      <c r="T25" s="64"/>
      <c r="U25" s="64"/>
      <c r="V25" s="23"/>
      <c r="W25" s="23">
        <v>1</v>
      </c>
      <c r="X25" s="23">
        <v>1</v>
      </c>
      <c r="Y25" s="184" t="s">
        <v>418</v>
      </c>
      <c r="Z25" s="16"/>
      <c r="AA25" s="192">
        <v>2</v>
      </c>
      <c r="AB25" s="40">
        <v>1</v>
      </c>
      <c r="AC25" s="40">
        <v>1</v>
      </c>
      <c r="AD25" s="40"/>
      <c r="AE25" s="40"/>
      <c r="AF25" s="40">
        <v>1</v>
      </c>
      <c r="AG25" s="40">
        <v>1</v>
      </c>
      <c r="AH25" s="40">
        <v>1</v>
      </c>
      <c r="AI25" s="40">
        <v>1</v>
      </c>
      <c r="AJ25" s="40"/>
      <c r="AK25" s="40"/>
      <c r="AL25" s="40"/>
      <c r="AM25" s="40"/>
      <c r="AN25" s="40">
        <v>4</v>
      </c>
      <c r="AO25" s="40">
        <v>1</v>
      </c>
      <c r="AP25" s="40"/>
      <c r="AQ25" s="183" t="s">
        <v>27</v>
      </c>
      <c r="AR25" s="24">
        <f t="shared" si="44"/>
        <v>10</v>
      </c>
      <c r="AS25" s="24">
        <f t="shared" si="44"/>
        <v>10</v>
      </c>
      <c r="AT25" s="24">
        <f t="shared" si="44"/>
        <v>5</v>
      </c>
      <c r="AU25" s="24">
        <f t="shared" si="44"/>
        <v>0</v>
      </c>
      <c r="AV25" s="24">
        <f t="shared" si="44"/>
        <v>0</v>
      </c>
      <c r="AW25" s="24">
        <f t="shared" si="45"/>
        <v>6</v>
      </c>
      <c r="AX25" s="24">
        <f t="shared" si="45"/>
        <v>6</v>
      </c>
      <c r="AY25" s="24">
        <f t="shared" si="45"/>
        <v>6</v>
      </c>
      <c r="AZ25" s="24">
        <f t="shared" si="45"/>
        <v>6</v>
      </c>
      <c r="BA25" s="24">
        <f t="shared" si="30"/>
        <v>0</v>
      </c>
      <c r="BB25" s="24">
        <f t="shared" si="30"/>
        <v>0</v>
      </c>
      <c r="BC25" s="24">
        <f t="shared" si="30"/>
        <v>0</v>
      </c>
      <c r="BD25" s="24">
        <f t="shared" si="30"/>
        <v>0</v>
      </c>
      <c r="BE25" s="24">
        <f t="shared" si="30"/>
        <v>8</v>
      </c>
      <c r="BF25" s="24">
        <f t="shared" si="30"/>
        <v>60</v>
      </c>
      <c r="BG25" s="46">
        <f t="shared" si="30"/>
        <v>0</v>
      </c>
      <c r="BH25" s="24">
        <f t="shared" si="31"/>
        <v>57</v>
      </c>
      <c r="BI25" s="24">
        <f t="shared" si="32"/>
        <v>117</v>
      </c>
      <c r="BJ25" s="43">
        <f t="shared" si="42"/>
        <v>7</v>
      </c>
      <c r="BK25" s="44">
        <f t="shared" si="43"/>
        <v>4</v>
      </c>
    </row>
    <row r="26" spans="1:63" ht="12.75" customHeight="1" x14ac:dyDescent="0.2">
      <c r="A26" s="22">
        <v>22</v>
      </c>
      <c r="B26" s="23" t="s">
        <v>395</v>
      </c>
      <c r="C26" s="58" t="s">
        <v>423</v>
      </c>
      <c r="D26" s="51" t="str">
        <f t="shared" si="41"/>
        <v>Griadounov Wanja</v>
      </c>
      <c r="E26" s="51" t="str">
        <f t="shared" si="37"/>
        <v>978688 (Griadounov Wanja)</v>
      </c>
      <c r="F26" s="51" t="e">
        <f>VLOOKUP($E26,#REF!,1,0)</f>
        <v>#REF!</v>
      </c>
      <c r="G26" s="177">
        <v>978688</v>
      </c>
      <c r="H26" s="53">
        <v>38764</v>
      </c>
      <c r="I26" s="54">
        <f t="shared" si="21"/>
        <v>2006</v>
      </c>
      <c r="J26" s="55" t="str">
        <f>IF(YEAR($K$1)-I26&lt;=14,"JJ",IF(YEAR($K$1)-I26&lt;=20,"J",IF(YEAR($K$1)-I26&gt;=70,"SV",IF(YEAR($K$1)-I26&gt;=60,"V",""))))</f>
        <v>J</v>
      </c>
      <c r="K26" s="23" t="s">
        <v>396</v>
      </c>
      <c r="L26" s="22">
        <v>8254</v>
      </c>
      <c r="M26" s="23" t="s">
        <v>37</v>
      </c>
      <c r="N26" s="22"/>
      <c r="O26" s="22"/>
      <c r="P26" s="56"/>
      <c r="Q26" s="15">
        <v>90</v>
      </c>
      <c r="R26" s="57"/>
      <c r="S26" s="80"/>
      <c r="T26" s="64"/>
      <c r="U26" s="64"/>
      <c r="V26" s="23"/>
      <c r="W26" s="23"/>
      <c r="X26" s="23"/>
      <c r="Y26" s="23"/>
      <c r="Z26" s="16"/>
      <c r="AA26" s="39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29"/>
      <c r="AR26" s="24">
        <f t="shared" ref="AR26:BG26" si="46">AA26*AA$4</f>
        <v>0</v>
      </c>
      <c r="AS26" s="24">
        <f t="shared" si="46"/>
        <v>0</v>
      </c>
      <c r="AT26" s="24">
        <f t="shared" si="46"/>
        <v>0</v>
      </c>
      <c r="AU26" s="24">
        <f t="shared" si="46"/>
        <v>0</v>
      </c>
      <c r="AV26" s="24">
        <f t="shared" si="46"/>
        <v>0</v>
      </c>
      <c r="AW26" s="24">
        <f t="shared" si="46"/>
        <v>0</v>
      </c>
      <c r="AX26" s="24">
        <f t="shared" si="46"/>
        <v>0</v>
      </c>
      <c r="AY26" s="24">
        <f t="shared" si="46"/>
        <v>0</v>
      </c>
      <c r="AZ26" s="24">
        <f t="shared" si="46"/>
        <v>0</v>
      </c>
      <c r="BA26" s="24">
        <f t="shared" si="46"/>
        <v>0</v>
      </c>
      <c r="BB26" s="24">
        <f t="shared" si="46"/>
        <v>0</v>
      </c>
      <c r="BC26" s="24">
        <f t="shared" si="46"/>
        <v>0</v>
      </c>
      <c r="BD26" s="24">
        <f t="shared" si="46"/>
        <v>0</v>
      </c>
      <c r="BE26" s="24">
        <f t="shared" si="46"/>
        <v>0</v>
      </c>
      <c r="BF26" s="24">
        <f t="shared" si="46"/>
        <v>0</v>
      </c>
      <c r="BG26" s="46">
        <f t="shared" si="46"/>
        <v>0</v>
      </c>
      <c r="BH26" s="24">
        <f t="shared" si="31"/>
        <v>0</v>
      </c>
      <c r="BI26" s="24">
        <f t="shared" si="32"/>
        <v>0</v>
      </c>
      <c r="BJ26" s="43">
        <f t="shared" si="42"/>
        <v>0</v>
      </c>
      <c r="BK26" s="44">
        <f t="shared" si="43"/>
        <v>0</v>
      </c>
    </row>
    <row r="27" spans="1:63" ht="12.75" customHeight="1" x14ac:dyDescent="0.2">
      <c r="A27" s="22">
        <v>23</v>
      </c>
      <c r="B27" s="23" t="s">
        <v>316</v>
      </c>
      <c r="C27" s="58" t="s">
        <v>177</v>
      </c>
      <c r="D27" s="51" t="str">
        <f t="shared" si="41"/>
        <v>Güttinger Joel</v>
      </c>
      <c r="E27" s="51" t="str">
        <f t="shared" si="37"/>
        <v>839891 (Güttinger Joel)</v>
      </c>
      <c r="F27" s="51" t="e">
        <f>VLOOKUP($E27,#REF!,1,0)</f>
        <v>#REF!</v>
      </c>
      <c r="G27" s="177">
        <v>839891</v>
      </c>
      <c r="H27" s="53">
        <v>37819</v>
      </c>
      <c r="I27" s="54">
        <f t="shared" si="21"/>
        <v>2003</v>
      </c>
      <c r="J27" s="55" t="str">
        <f t="shared" si="36"/>
        <v/>
      </c>
      <c r="K27" s="23" t="s">
        <v>317</v>
      </c>
      <c r="L27" s="22">
        <v>8255</v>
      </c>
      <c r="M27" s="23" t="s">
        <v>158</v>
      </c>
      <c r="N27" s="23" t="s">
        <v>373</v>
      </c>
      <c r="O27" s="22"/>
      <c r="P27" s="56" t="s">
        <v>456</v>
      </c>
      <c r="Q27" s="15">
        <v>90</v>
      </c>
      <c r="R27" s="57"/>
      <c r="S27" s="189"/>
      <c r="T27" s="64"/>
      <c r="U27" s="64"/>
      <c r="V27" s="23"/>
      <c r="W27" s="23"/>
      <c r="X27" s="184"/>
      <c r="Y27" s="184"/>
      <c r="Z27" s="16"/>
      <c r="AA27" s="39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183"/>
      <c r="AR27" s="24">
        <f t="shared" si="44"/>
        <v>0</v>
      </c>
      <c r="AS27" s="24">
        <f t="shared" si="44"/>
        <v>0</v>
      </c>
      <c r="AT27" s="24">
        <f t="shared" si="44"/>
        <v>0</v>
      </c>
      <c r="AU27" s="24">
        <f t="shared" si="44"/>
        <v>0</v>
      </c>
      <c r="AV27" s="24">
        <f t="shared" si="44"/>
        <v>0</v>
      </c>
      <c r="AW27" s="24">
        <f t="shared" si="45"/>
        <v>0</v>
      </c>
      <c r="AX27" s="24">
        <f t="shared" si="45"/>
        <v>0</v>
      </c>
      <c r="AY27" s="24">
        <f t="shared" si="45"/>
        <v>0</v>
      </c>
      <c r="AZ27" s="24">
        <f t="shared" si="45"/>
        <v>0</v>
      </c>
      <c r="BA27" s="24">
        <f t="shared" si="30"/>
        <v>0</v>
      </c>
      <c r="BB27" s="24">
        <f t="shared" si="30"/>
        <v>0</v>
      </c>
      <c r="BC27" s="24">
        <f t="shared" si="30"/>
        <v>0</v>
      </c>
      <c r="BD27" s="24">
        <f t="shared" si="30"/>
        <v>0</v>
      </c>
      <c r="BE27" s="24">
        <f t="shared" si="30"/>
        <v>0</v>
      </c>
      <c r="BF27" s="24">
        <f t="shared" si="30"/>
        <v>0</v>
      </c>
      <c r="BG27" s="46">
        <f t="shared" si="30"/>
        <v>0</v>
      </c>
      <c r="BH27" s="24">
        <f t="shared" si="31"/>
        <v>0</v>
      </c>
      <c r="BI27" s="24">
        <f t="shared" si="32"/>
        <v>0</v>
      </c>
      <c r="BJ27" s="43">
        <f t="shared" si="42"/>
        <v>0</v>
      </c>
      <c r="BK27" s="44">
        <f t="shared" si="43"/>
        <v>0</v>
      </c>
    </row>
    <row r="28" spans="1:63" ht="12.75" customHeight="1" x14ac:dyDescent="0.2">
      <c r="A28" s="22">
        <v>24</v>
      </c>
      <c r="B28" s="23" t="s">
        <v>316</v>
      </c>
      <c r="C28" s="58" t="s">
        <v>315</v>
      </c>
      <c r="D28" s="51" t="str">
        <f t="shared" si="41"/>
        <v>Güttinger Robin</v>
      </c>
      <c r="E28" s="51" t="str">
        <f t="shared" si="37"/>
        <v>839890 (Güttinger Robin)</v>
      </c>
      <c r="F28" s="51" t="e">
        <f>VLOOKUP($E28,#REF!,1,0)</f>
        <v>#REF!</v>
      </c>
      <c r="G28" s="177">
        <v>839890</v>
      </c>
      <c r="H28" s="53">
        <v>37819</v>
      </c>
      <c r="I28" s="54">
        <f t="shared" si="21"/>
        <v>2003</v>
      </c>
      <c r="J28" s="55" t="str">
        <f t="shared" si="36"/>
        <v/>
      </c>
      <c r="K28" s="23" t="s">
        <v>317</v>
      </c>
      <c r="L28" s="22">
        <v>8255</v>
      </c>
      <c r="M28" s="23" t="s">
        <v>158</v>
      </c>
      <c r="N28" s="23" t="s">
        <v>358</v>
      </c>
      <c r="O28" s="22"/>
      <c r="P28" s="56" t="s">
        <v>461</v>
      </c>
      <c r="Q28" s="15">
        <v>90</v>
      </c>
      <c r="R28" s="57"/>
      <c r="S28" s="189"/>
      <c r="T28" s="64"/>
      <c r="U28" s="64"/>
      <c r="V28" s="23"/>
      <c r="W28" s="23"/>
      <c r="X28" s="184"/>
      <c r="Y28" s="184"/>
      <c r="Z28" s="16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183"/>
      <c r="AR28" s="24">
        <f t="shared" si="44"/>
        <v>0</v>
      </c>
      <c r="AS28" s="24">
        <f t="shared" si="44"/>
        <v>0</v>
      </c>
      <c r="AT28" s="24">
        <f t="shared" si="44"/>
        <v>0</v>
      </c>
      <c r="AU28" s="24">
        <f t="shared" si="44"/>
        <v>0</v>
      </c>
      <c r="AV28" s="24">
        <f t="shared" si="44"/>
        <v>0</v>
      </c>
      <c r="AW28" s="24">
        <f>AF28*AF$4</f>
        <v>0</v>
      </c>
      <c r="AX28" s="24">
        <f>AG28*AG$4</f>
        <v>0</v>
      </c>
      <c r="AY28" s="24">
        <f>AH28*AH$4</f>
        <v>0</v>
      </c>
      <c r="AZ28" s="24">
        <f>AI28*AI$4</f>
        <v>0</v>
      </c>
      <c r="BA28" s="24">
        <f t="shared" ref="BA28:BG28" si="47">AJ28*AJ$4</f>
        <v>0</v>
      </c>
      <c r="BB28" s="24">
        <f t="shared" si="47"/>
        <v>0</v>
      </c>
      <c r="BC28" s="24">
        <f t="shared" si="47"/>
        <v>0</v>
      </c>
      <c r="BD28" s="24">
        <f t="shared" si="47"/>
        <v>0</v>
      </c>
      <c r="BE28" s="24">
        <f t="shared" si="47"/>
        <v>0</v>
      </c>
      <c r="BF28" s="24">
        <f t="shared" si="47"/>
        <v>0</v>
      </c>
      <c r="BG28" s="46">
        <f t="shared" si="47"/>
        <v>0</v>
      </c>
      <c r="BH28" s="24">
        <f t="shared" si="31"/>
        <v>0</v>
      </c>
      <c r="BI28" s="24">
        <f t="shared" si="32"/>
        <v>0</v>
      </c>
      <c r="BJ28" s="43">
        <f t="shared" si="42"/>
        <v>0</v>
      </c>
      <c r="BK28" s="44">
        <f t="shared" si="43"/>
        <v>0</v>
      </c>
    </row>
    <row r="29" spans="1:63" ht="12.75" customHeight="1" outlineLevel="1" x14ac:dyDescent="0.2">
      <c r="A29" s="22">
        <v>25</v>
      </c>
      <c r="B29" s="22" t="s">
        <v>319</v>
      </c>
      <c r="C29" s="51" t="s">
        <v>320</v>
      </c>
      <c r="D29" s="51" t="str">
        <f t="shared" si="0"/>
        <v>Hasler Michél</v>
      </c>
      <c r="E29" s="51" t="str">
        <f t="shared" si="37"/>
        <v>n/a (Hasler Michél)</v>
      </c>
      <c r="F29" s="51" t="e">
        <f>VLOOKUP($E29,#REF!,1,0)</f>
        <v>#REF!</v>
      </c>
      <c r="G29" s="177" t="s">
        <v>268</v>
      </c>
      <c r="H29" s="53">
        <v>25934</v>
      </c>
      <c r="I29" s="54">
        <f t="shared" si="21"/>
        <v>1971</v>
      </c>
      <c r="J29" s="55" t="str">
        <f t="shared" si="36"/>
        <v/>
      </c>
      <c r="K29" s="22"/>
      <c r="L29" s="22"/>
      <c r="M29" s="22"/>
      <c r="N29" s="22"/>
      <c r="O29" s="22"/>
      <c r="P29" s="56" t="s">
        <v>321</v>
      </c>
      <c r="Q29" s="15"/>
      <c r="R29" s="57"/>
      <c r="S29" s="80"/>
      <c r="T29" s="64"/>
      <c r="U29" s="64"/>
      <c r="V29" s="23"/>
      <c r="W29" s="23"/>
      <c r="X29" s="23"/>
      <c r="Y29" s="23"/>
      <c r="Z29" s="16"/>
      <c r="AA29" s="39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29"/>
      <c r="AR29" s="24">
        <f t="shared" si="44"/>
        <v>0</v>
      </c>
      <c r="AS29" s="24">
        <f t="shared" si="44"/>
        <v>0</v>
      </c>
      <c r="AT29" s="24">
        <f t="shared" si="44"/>
        <v>0</v>
      </c>
      <c r="AU29" s="24">
        <f t="shared" si="44"/>
        <v>0</v>
      </c>
      <c r="AV29" s="24">
        <f t="shared" si="44"/>
        <v>0</v>
      </c>
      <c r="AW29" s="24">
        <f t="shared" si="45"/>
        <v>0</v>
      </c>
      <c r="AX29" s="24">
        <f t="shared" si="45"/>
        <v>0</v>
      </c>
      <c r="AY29" s="24">
        <f t="shared" si="45"/>
        <v>0</v>
      </c>
      <c r="AZ29" s="24">
        <f t="shared" si="45"/>
        <v>0</v>
      </c>
      <c r="BA29" s="24">
        <f t="shared" ref="BA29:BG29" si="48">AJ29*AJ$4</f>
        <v>0</v>
      </c>
      <c r="BB29" s="24">
        <f t="shared" si="48"/>
        <v>0</v>
      </c>
      <c r="BC29" s="24">
        <f t="shared" si="48"/>
        <v>0</v>
      </c>
      <c r="BD29" s="24">
        <f t="shared" si="48"/>
        <v>0</v>
      </c>
      <c r="BE29" s="24">
        <f t="shared" si="48"/>
        <v>0</v>
      </c>
      <c r="BF29" s="24">
        <f t="shared" si="48"/>
        <v>0</v>
      </c>
      <c r="BG29" s="46">
        <f t="shared" si="48"/>
        <v>0</v>
      </c>
      <c r="BH29" s="24">
        <f t="shared" si="31"/>
        <v>0</v>
      </c>
      <c r="BI29" s="24">
        <f t="shared" si="32"/>
        <v>0</v>
      </c>
      <c r="BJ29" s="43">
        <f t="shared" si="17"/>
        <v>0</v>
      </c>
      <c r="BK29" s="44">
        <f t="shared" si="18"/>
        <v>0</v>
      </c>
    </row>
    <row r="30" spans="1:63" ht="12.75" customHeight="1" x14ac:dyDescent="0.2">
      <c r="A30" s="22">
        <v>26</v>
      </c>
      <c r="B30" s="22" t="s">
        <v>89</v>
      </c>
      <c r="C30" s="51" t="s">
        <v>90</v>
      </c>
      <c r="D30" s="51" t="str">
        <f t="shared" si="0"/>
        <v>Hungerbühler Marc</v>
      </c>
      <c r="E30" s="51" t="str">
        <f t="shared" si="20"/>
        <v>160592 (Hungerbühler Marc)</v>
      </c>
      <c r="F30" s="51" t="e">
        <f>VLOOKUP($E30,#REF!,1,0)</f>
        <v>#REF!</v>
      </c>
      <c r="G30" s="177">
        <v>160592</v>
      </c>
      <c r="H30" s="53">
        <v>27142</v>
      </c>
      <c r="I30" s="54">
        <f t="shared" si="21"/>
        <v>1974</v>
      </c>
      <c r="J30" s="55" t="str">
        <f t="shared" ref="J30:J73" si="49">IF(YEAR($K$1)-I30&lt;=14,"JJ",IF(YEAR($K$1)-I30&lt;=20,"J",IF(YEAR($K$1)-I30&gt;=70,"SV",IF(YEAR($K$1)-I30&gt;=60,"V",""))))</f>
        <v/>
      </c>
      <c r="K30" s="22" t="s">
        <v>91</v>
      </c>
      <c r="L30" s="22">
        <v>8261</v>
      </c>
      <c r="M30" s="22" t="s">
        <v>92</v>
      </c>
      <c r="N30" s="22" t="s">
        <v>369</v>
      </c>
      <c r="O30" s="22" t="s">
        <v>93</v>
      </c>
      <c r="P30" s="56" t="s">
        <v>180</v>
      </c>
      <c r="Q30" s="15" t="s">
        <v>29</v>
      </c>
      <c r="R30" s="57"/>
      <c r="S30" s="80"/>
      <c r="T30" s="23"/>
      <c r="U30" s="23"/>
      <c r="V30" s="23"/>
      <c r="W30" s="23"/>
      <c r="X30" s="23"/>
      <c r="Y30" s="23"/>
      <c r="Z30" s="16"/>
      <c r="AA30" s="39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29"/>
      <c r="AR30" s="24">
        <f t="shared" si="23"/>
        <v>0</v>
      </c>
      <c r="AS30" s="24">
        <f t="shared" si="24"/>
        <v>0</v>
      </c>
      <c r="AT30" s="24">
        <f t="shared" si="25"/>
        <v>0</v>
      </c>
      <c r="AU30" s="24">
        <f t="shared" si="26"/>
        <v>0</v>
      </c>
      <c r="AV30" s="24">
        <f t="shared" si="26"/>
        <v>0</v>
      </c>
      <c r="AW30" s="24">
        <f t="shared" si="27"/>
        <v>0</v>
      </c>
      <c r="AX30" s="24">
        <f t="shared" si="28"/>
        <v>0</v>
      </c>
      <c r="AY30" s="24">
        <f t="shared" si="29"/>
        <v>0</v>
      </c>
      <c r="AZ30" s="24">
        <f t="shared" si="29"/>
        <v>0</v>
      </c>
      <c r="BA30" s="24">
        <f t="shared" si="30"/>
        <v>0</v>
      </c>
      <c r="BB30" s="24">
        <f t="shared" si="30"/>
        <v>0</v>
      </c>
      <c r="BC30" s="24">
        <f t="shared" si="30"/>
        <v>0</v>
      </c>
      <c r="BD30" s="24">
        <f t="shared" si="30"/>
        <v>0</v>
      </c>
      <c r="BE30" s="24">
        <f t="shared" si="30"/>
        <v>0</v>
      </c>
      <c r="BF30" s="24">
        <f t="shared" si="30"/>
        <v>0</v>
      </c>
      <c r="BG30" s="46">
        <f t="shared" si="30"/>
        <v>0</v>
      </c>
      <c r="BH30" s="24">
        <f t="shared" si="31"/>
        <v>0</v>
      </c>
      <c r="BI30" s="24">
        <f t="shared" si="32"/>
        <v>0</v>
      </c>
      <c r="BJ30" s="43">
        <f t="shared" si="17"/>
        <v>0</v>
      </c>
      <c r="BK30" s="44">
        <f t="shared" si="18"/>
        <v>0</v>
      </c>
    </row>
    <row r="31" spans="1:63" ht="12.75" customHeight="1" x14ac:dyDescent="0.2">
      <c r="A31" s="22">
        <v>27</v>
      </c>
      <c r="B31" s="22" t="s">
        <v>98</v>
      </c>
      <c r="C31" s="51" t="s">
        <v>99</v>
      </c>
      <c r="D31" s="51" t="str">
        <f t="shared" si="0"/>
        <v>Itel Gregor</v>
      </c>
      <c r="E31" s="51" t="str">
        <f t="shared" si="20"/>
        <v>160618 (Itel Gregor)</v>
      </c>
      <c r="F31" s="51" t="e">
        <f>VLOOKUP($E31,#REF!,1,0)</f>
        <v>#REF!</v>
      </c>
      <c r="G31" s="177">
        <v>160618</v>
      </c>
      <c r="H31" s="53">
        <v>29412</v>
      </c>
      <c r="I31" s="54">
        <f t="shared" si="21"/>
        <v>1980</v>
      </c>
      <c r="J31" s="55" t="str">
        <f t="shared" si="49"/>
        <v/>
      </c>
      <c r="K31" s="22" t="s">
        <v>294</v>
      </c>
      <c r="L31" s="22">
        <v>8253</v>
      </c>
      <c r="M31" s="22" t="s">
        <v>33</v>
      </c>
      <c r="N31" s="22" t="s">
        <v>100</v>
      </c>
      <c r="O31" s="22"/>
      <c r="P31" s="56" t="s">
        <v>146</v>
      </c>
      <c r="Q31" s="15">
        <v>90</v>
      </c>
      <c r="R31" s="57">
        <v>2</v>
      </c>
      <c r="S31" s="189"/>
      <c r="T31" s="64"/>
      <c r="U31" s="64"/>
      <c r="V31" s="23"/>
      <c r="W31" s="23"/>
      <c r="X31" s="23"/>
      <c r="Y31" s="184"/>
      <c r="Z31" s="16"/>
      <c r="AA31" s="39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181"/>
      <c r="AR31" s="24">
        <f t="shared" si="23"/>
        <v>0</v>
      </c>
      <c r="AS31" s="24">
        <f t="shared" si="24"/>
        <v>0</v>
      </c>
      <c r="AT31" s="24">
        <f t="shared" si="25"/>
        <v>0</v>
      </c>
      <c r="AU31" s="24">
        <f t="shared" si="26"/>
        <v>0</v>
      </c>
      <c r="AV31" s="24">
        <f t="shared" si="26"/>
        <v>0</v>
      </c>
      <c r="AW31" s="24">
        <f t="shared" si="27"/>
        <v>0</v>
      </c>
      <c r="AX31" s="24">
        <f t="shared" si="28"/>
        <v>0</v>
      </c>
      <c r="AY31" s="24">
        <f t="shared" si="29"/>
        <v>0</v>
      </c>
      <c r="AZ31" s="24">
        <f t="shared" si="29"/>
        <v>0</v>
      </c>
      <c r="BA31" s="24">
        <f t="shared" ref="BA31:BA73" si="50">AJ31*AJ$4</f>
        <v>0</v>
      </c>
      <c r="BB31" s="24">
        <f t="shared" ref="BB31:BB73" si="51">AK31*AK$4</f>
        <v>0</v>
      </c>
      <c r="BC31" s="24">
        <f t="shared" ref="BC31:BC73" si="52">AL31*AL$4</f>
        <v>0</v>
      </c>
      <c r="BD31" s="24">
        <f t="shared" ref="BD31:BD73" si="53">AM31*AM$4</f>
        <v>0</v>
      </c>
      <c r="BE31" s="24">
        <f t="shared" ref="BE31:BE73" si="54">AN31*AN$4</f>
        <v>0</v>
      </c>
      <c r="BF31" s="24">
        <f t="shared" ref="BF31:BF73" si="55">AO31*AO$4</f>
        <v>0</v>
      </c>
      <c r="BG31" s="46">
        <f t="shared" ref="BG31:BG73" si="56">AP31*AP$4</f>
        <v>0</v>
      </c>
      <c r="BH31" s="24">
        <f t="shared" si="31"/>
        <v>0</v>
      </c>
      <c r="BI31" s="24">
        <f t="shared" si="32"/>
        <v>0</v>
      </c>
      <c r="BJ31" s="43">
        <f t="shared" si="17"/>
        <v>0</v>
      </c>
      <c r="BK31" s="44">
        <f t="shared" si="18"/>
        <v>0</v>
      </c>
    </row>
    <row r="32" spans="1:63" ht="12.75" customHeight="1" x14ac:dyDescent="0.2">
      <c r="A32" s="22">
        <v>28</v>
      </c>
      <c r="B32" s="161" t="s">
        <v>76</v>
      </c>
      <c r="C32" s="162" t="s">
        <v>40</v>
      </c>
      <c r="D32" s="162" t="str">
        <f t="shared" si="0"/>
        <v>Keller Andreas</v>
      </c>
      <c r="E32" s="162" t="str">
        <f t="shared" si="20"/>
        <v>310477 (Keller Andreas)</v>
      </c>
      <c r="F32" s="162" t="e">
        <f>VLOOKUP($E32,#REF!,1,0)</f>
        <v>#REF!</v>
      </c>
      <c r="G32" s="178">
        <v>310477</v>
      </c>
      <c r="H32" s="163">
        <v>28008</v>
      </c>
      <c r="I32" s="164">
        <f t="shared" si="21"/>
        <v>1976</v>
      </c>
      <c r="J32" s="165" t="str">
        <f t="shared" si="49"/>
        <v/>
      </c>
      <c r="K32" s="161" t="s">
        <v>77</v>
      </c>
      <c r="L32" s="161">
        <v>8254</v>
      </c>
      <c r="M32" s="161" t="s">
        <v>37</v>
      </c>
      <c r="N32" s="161" t="s">
        <v>151</v>
      </c>
      <c r="O32" s="161" t="s">
        <v>78</v>
      </c>
      <c r="P32" s="166" t="s">
        <v>207</v>
      </c>
      <c r="Q32" s="167" t="s">
        <v>20</v>
      </c>
      <c r="R32" s="168"/>
      <c r="S32" s="80"/>
      <c r="T32" s="23"/>
      <c r="U32" s="23"/>
      <c r="V32" s="23"/>
      <c r="W32" s="23"/>
      <c r="X32" s="23"/>
      <c r="Y32" s="173"/>
      <c r="Z32" s="16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29"/>
      <c r="AR32" s="24">
        <f>AA32*AA$4</f>
        <v>0</v>
      </c>
      <c r="AS32" s="24">
        <f t="shared" si="24"/>
        <v>0</v>
      </c>
      <c r="AT32" s="24">
        <f>AC32*AC$4</f>
        <v>0</v>
      </c>
      <c r="AU32" s="24">
        <f>AD32*AD$4</f>
        <v>0</v>
      </c>
      <c r="AV32" s="24">
        <f>AE32*AE$4</f>
        <v>0</v>
      </c>
      <c r="AW32" s="24">
        <f>AF32*AF$4</f>
        <v>0</v>
      </c>
      <c r="AX32" s="24">
        <f t="shared" si="28"/>
        <v>0</v>
      </c>
      <c r="AY32" s="24">
        <f t="shared" si="29"/>
        <v>0</v>
      </c>
      <c r="AZ32" s="24">
        <f t="shared" si="29"/>
        <v>0</v>
      </c>
      <c r="BA32" s="24">
        <f t="shared" si="50"/>
        <v>0</v>
      </c>
      <c r="BB32" s="24">
        <f t="shared" si="51"/>
        <v>0</v>
      </c>
      <c r="BC32" s="24">
        <f t="shared" si="52"/>
        <v>0</v>
      </c>
      <c r="BD32" s="24">
        <f t="shared" si="53"/>
        <v>0</v>
      </c>
      <c r="BE32" s="24">
        <f t="shared" si="54"/>
        <v>0</v>
      </c>
      <c r="BF32" s="24">
        <f t="shared" si="55"/>
        <v>0</v>
      </c>
      <c r="BG32" s="46">
        <f t="shared" si="56"/>
        <v>0</v>
      </c>
      <c r="BH32" s="24">
        <f t="shared" si="31"/>
        <v>0</v>
      </c>
      <c r="BI32" s="24">
        <f t="shared" si="32"/>
        <v>0</v>
      </c>
      <c r="BJ32" s="43">
        <f t="shared" si="17"/>
        <v>0</v>
      </c>
      <c r="BK32" s="44">
        <f t="shared" si="18"/>
        <v>0</v>
      </c>
    </row>
    <row r="33" spans="1:63" ht="12.75" customHeight="1" x14ac:dyDescent="0.2">
      <c r="A33" s="22">
        <v>29</v>
      </c>
      <c r="B33" s="22" t="s">
        <v>76</v>
      </c>
      <c r="C33" s="51" t="s">
        <v>84</v>
      </c>
      <c r="D33" s="51" t="str">
        <f t="shared" si="0"/>
        <v>Keller Johann</v>
      </c>
      <c r="E33" s="51" t="str">
        <f t="shared" ref="E33" si="57">$G33&amp;" ("&amp;D33&amp;")"</f>
        <v>160595 (Keller Johann)</v>
      </c>
      <c r="F33" s="51" t="e">
        <f>VLOOKUP($E33,#REF!,1,0)</f>
        <v>#REF!</v>
      </c>
      <c r="G33" s="177">
        <v>160595</v>
      </c>
      <c r="H33" s="53">
        <v>17630</v>
      </c>
      <c r="I33" s="54">
        <f t="shared" ref="I33" si="58">YEAR(H33)</f>
        <v>1948</v>
      </c>
      <c r="J33" s="55" t="str">
        <f t="shared" ref="J33" si="59">IF(YEAR($K$1)-I33&lt;=14,"JJ",IF(YEAR($K$1)-I33&lt;=20,"J",IF(YEAR($K$1)-I33&gt;=70,"SV",IF(YEAR($K$1)-I33&gt;=60,"V",""))))</f>
        <v>SV</v>
      </c>
      <c r="K33" s="22" t="s">
        <v>85</v>
      </c>
      <c r="L33" s="22">
        <v>8254</v>
      </c>
      <c r="M33" s="22" t="s">
        <v>37</v>
      </c>
      <c r="N33" s="22" t="s">
        <v>184</v>
      </c>
      <c r="O33" s="22" t="s">
        <v>86</v>
      </c>
      <c r="P33" s="56" t="s">
        <v>299</v>
      </c>
      <c r="Q33" s="15" t="s">
        <v>20</v>
      </c>
      <c r="R33" s="57">
        <v>3</v>
      </c>
      <c r="S33" s="189" t="s">
        <v>21</v>
      </c>
      <c r="T33" s="23"/>
      <c r="U33" s="23"/>
      <c r="V33" s="23"/>
      <c r="W33" s="23">
        <v>1</v>
      </c>
      <c r="X33" s="23">
        <v>1</v>
      </c>
      <c r="Y33" s="184"/>
      <c r="Z33" s="39"/>
      <c r="AA33" s="39">
        <v>3</v>
      </c>
      <c r="AB33" s="40">
        <v>1</v>
      </c>
      <c r="AC33" s="40">
        <v>1</v>
      </c>
      <c r="AD33" s="40"/>
      <c r="AE33" s="40"/>
      <c r="AF33" s="40">
        <v>1</v>
      </c>
      <c r="AG33" s="40"/>
      <c r="AH33" s="40">
        <v>1</v>
      </c>
      <c r="AI33" s="40"/>
      <c r="AJ33" s="40"/>
      <c r="AK33" s="40">
        <v>1</v>
      </c>
      <c r="AL33" s="40">
        <v>1</v>
      </c>
      <c r="AM33" s="40"/>
      <c r="AN33" s="195">
        <v>6</v>
      </c>
      <c r="AO33" s="40">
        <v>1</v>
      </c>
      <c r="AP33" s="40"/>
      <c r="AQ33" s="194" t="s">
        <v>27</v>
      </c>
      <c r="AR33" s="24">
        <f t="shared" ref="AR33" si="60">AA33*AA$4</f>
        <v>15</v>
      </c>
      <c r="AS33" s="24">
        <f t="shared" ref="AS33" si="61">AB33*AB$4</f>
        <v>10</v>
      </c>
      <c r="AT33" s="24">
        <f t="shared" ref="AT33" si="62">AC33*AC$4</f>
        <v>5</v>
      </c>
      <c r="AU33" s="24">
        <f t="shared" ref="AU33" si="63">AD33*AD$4</f>
        <v>0</v>
      </c>
      <c r="AV33" s="24">
        <f t="shared" ref="AV33" si="64">AE33*AE$4</f>
        <v>0</v>
      </c>
      <c r="AW33" s="24">
        <f t="shared" ref="AW33" si="65">AF33*AF$4</f>
        <v>6</v>
      </c>
      <c r="AX33" s="24">
        <f t="shared" ref="AX33" si="66">AG33*AG$4</f>
        <v>0</v>
      </c>
      <c r="AY33" s="24">
        <f t="shared" ref="AY33" si="67">AH33*AH$4</f>
        <v>6</v>
      </c>
      <c r="AZ33" s="24">
        <f t="shared" ref="AZ33" si="68">AI33*AI$4</f>
        <v>0</v>
      </c>
      <c r="BA33" s="24">
        <f t="shared" ref="BA33" si="69">AJ33*AJ$4</f>
        <v>0</v>
      </c>
      <c r="BB33" s="24">
        <f t="shared" ref="BB33" si="70">AK33*AK$4</f>
        <v>3</v>
      </c>
      <c r="BC33" s="24">
        <f t="shared" ref="BC33" si="71">AL33*AL$4</f>
        <v>5</v>
      </c>
      <c r="BD33" s="24">
        <f t="shared" ref="BD33" si="72">AM33*AM$4</f>
        <v>0</v>
      </c>
      <c r="BE33" s="24">
        <f t="shared" ref="BE33" si="73">AN33*AN$4</f>
        <v>12</v>
      </c>
      <c r="BF33" s="24">
        <f t="shared" ref="BF33" si="74">AO33*AO$4</f>
        <v>60</v>
      </c>
      <c r="BG33" s="46">
        <f t="shared" ref="BG33" si="75">AP33*AP$4</f>
        <v>0</v>
      </c>
      <c r="BH33" s="24">
        <f t="shared" ref="BH33" si="76">SUM(AR33:BE33)</f>
        <v>62</v>
      </c>
      <c r="BI33" s="24">
        <f t="shared" ref="BI33" si="77">SUM(AR33:BG33)</f>
        <v>122</v>
      </c>
      <c r="BJ33" s="43">
        <f t="shared" si="17"/>
        <v>8</v>
      </c>
      <c r="BK33" s="44">
        <f t="shared" si="18"/>
        <v>4</v>
      </c>
    </row>
    <row r="34" spans="1:63" ht="12.75" customHeight="1" x14ac:dyDescent="0.2">
      <c r="A34" s="22">
        <v>30</v>
      </c>
      <c r="B34" s="22" t="s">
        <v>76</v>
      </c>
      <c r="C34" s="51" t="s">
        <v>432</v>
      </c>
      <c r="D34" s="51" t="str">
        <f t="shared" si="0"/>
        <v>Keller Jonas</v>
      </c>
      <c r="E34" s="51" t="str">
        <f t="shared" si="20"/>
        <v>007967 (Keller Jonas)</v>
      </c>
      <c r="F34" s="51" t="e">
        <f>VLOOKUP($E34,#REF!,1,0)</f>
        <v>#REF!</v>
      </c>
      <c r="G34" s="172" t="s">
        <v>433</v>
      </c>
      <c r="H34" s="53">
        <v>39940</v>
      </c>
      <c r="I34" s="54">
        <f t="shared" si="21"/>
        <v>2009</v>
      </c>
      <c r="J34" s="55" t="str">
        <f t="shared" si="49"/>
        <v>J</v>
      </c>
      <c r="K34" s="22" t="s">
        <v>434</v>
      </c>
      <c r="L34" s="22">
        <v>8254</v>
      </c>
      <c r="M34" s="22" t="s">
        <v>37</v>
      </c>
      <c r="N34" s="22"/>
      <c r="O34" s="22"/>
      <c r="P34" s="56"/>
      <c r="Q34" s="15">
        <v>90</v>
      </c>
      <c r="R34" s="57"/>
      <c r="S34" s="80"/>
      <c r="T34" s="23"/>
      <c r="U34" s="23"/>
      <c r="V34" s="23"/>
      <c r="W34" s="23"/>
      <c r="X34" s="23"/>
      <c r="Y34" s="23"/>
      <c r="Z34" s="39"/>
      <c r="AA34" s="39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29"/>
      <c r="AR34" s="24">
        <f t="shared" si="23"/>
        <v>0</v>
      </c>
      <c r="AS34" s="24">
        <f t="shared" si="24"/>
        <v>0</v>
      </c>
      <c r="AT34" s="24">
        <f t="shared" si="25"/>
        <v>0</v>
      </c>
      <c r="AU34" s="24">
        <f t="shared" si="26"/>
        <v>0</v>
      </c>
      <c r="AV34" s="24">
        <f t="shared" si="26"/>
        <v>0</v>
      </c>
      <c r="AW34" s="24">
        <f t="shared" si="27"/>
        <v>0</v>
      </c>
      <c r="AX34" s="24">
        <f t="shared" si="28"/>
        <v>0</v>
      </c>
      <c r="AY34" s="24">
        <f t="shared" si="29"/>
        <v>0</v>
      </c>
      <c r="AZ34" s="24">
        <f t="shared" si="29"/>
        <v>0</v>
      </c>
      <c r="BA34" s="24">
        <f t="shared" si="50"/>
        <v>0</v>
      </c>
      <c r="BB34" s="24">
        <f t="shared" si="51"/>
        <v>0</v>
      </c>
      <c r="BC34" s="24">
        <f t="shared" si="52"/>
        <v>0</v>
      </c>
      <c r="BD34" s="24">
        <f t="shared" si="53"/>
        <v>0</v>
      </c>
      <c r="BE34" s="24">
        <f t="shared" si="54"/>
        <v>0</v>
      </c>
      <c r="BF34" s="24">
        <f t="shared" si="55"/>
        <v>0</v>
      </c>
      <c r="BG34" s="46">
        <f t="shared" si="56"/>
        <v>0</v>
      </c>
      <c r="BH34" s="24">
        <f t="shared" si="31"/>
        <v>0</v>
      </c>
      <c r="BI34" s="24">
        <f t="shared" si="32"/>
        <v>0</v>
      </c>
      <c r="BJ34" s="43">
        <f t="shared" si="17"/>
        <v>0</v>
      </c>
      <c r="BK34" s="44">
        <f t="shared" si="18"/>
        <v>0</v>
      </c>
    </row>
    <row r="35" spans="1:63" ht="12.75" customHeight="1" x14ac:dyDescent="0.2">
      <c r="A35" s="22">
        <v>31</v>
      </c>
      <c r="B35" s="22" t="s">
        <v>13</v>
      </c>
      <c r="C35" s="51" t="s">
        <v>14</v>
      </c>
      <c r="D35" s="51" t="str">
        <f t="shared" si="0"/>
        <v>Klingenfuss Urs</v>
      </c>
      <c r="E35" s="51" t="str">
        <f t="shared" si="20"/>
        <v>296003 (Klingenfuss Urs)</v>
      </c>
      <c r="F35" s="51" t="e">
        <f>VLOOKUP($E35,#REF!,1,0)</f>
        <v>#REF!</v>
      </c>
      <c r="G35" s="177">
        <v>296003</v>
      </c>
      <c r="H35" s="53">
        <v>22487</v>
      </c>
      <c r="I35" s="54">
        <f t="shared" si="21"/>
        <v>1961</v>
      </c>
      <c r="J35" s="59" t="str">
        <f t="shared" si="49"/>
        <v>V</v>
      </c>
      <c r="K35" s="22" t="s">
        <v>15</v>
      </c>
      <c r="L35" s="22">
        <v>8200</v>
      </c>
      <c r="M35" s="22" t="s">
        <v>16</v>
      </c>
      <c r="N35" s="22" t="s">
        <v>18</v>
      </c>
      <c r="O35" s="22" t="s">
        <v>17</v>
      </c>
      <c r="P35" s="56" t="s">
        <v>160</v>
      </c>
      <c r="Q35" s="15" t="s">
        <v>29</v>
      </c>
      <c r="R35" s="57">
        <v>3</v>
      </c>
      <c r="S35" s="80" t="s">
        <v>22</v>
      </c>
      <c r="T35" s="64"/>
      <c r="U35" s="64"/>
      <c r="V35" s="23"/>
      <c r="W35" s="23">
        <v>1</v>
      </c>
      <c r="X35" s="23">
        <v>1</v>
      </c>
      <c r="Y35" s="184"/>
      <c r="Z35" s="16"/>
      <c r="AA35" s="39">
        <v>6</v>
      </c>
      <c r="AB35" s="40">
        <v>1</v>
      </c>
      <c r="AC35" s="40">
        <v>1</v>
      </c>
      <c r="AD35" s="40">
        <v>1</v>
      </c>
      <c r="AE35" s="40"/>
      <c r="AF35" s="40">
        <v>1</v>
      </c>
      <c r="AG35" s="40">
        <v>1</v>
      </c>
      <c r="AH35" s="40">
        <v>1</v>
      </c>
      <c r="AI35" s="40">
        <v>1</v>
      </c>
      <c r="AJ35" s="40"/>
      <c r="AK35" s="40">
        <v>1</v>
      </c>
      <c r="AL35" s="40">
        <v>1</v>
      </c>
      <c r="AM35" s="40"/>
      <c r="AN35" s="40">
        <v>12</v>
      </c>
      <c r="AO35" s="40"/>
      <c r="AP35" s="40">
        <v>1</v>
      </c>
      <c r="AQ35" s="191" t="s">
        <v>27</v>
      </c>
      <c r="AR35" s="24">
        <f t="shared" si="23"/>
        <v>30</v>
      </c>
      <c r="AS35" s="24">
        <f t="shared" si="24"/>
        <v>10</v>
      </c>
      <c r="AT35" s="24">
        <f t="shared" si="25"/>
        <v>5</v>
      </c>
      <c r="AU35" s="24">
        <f t="shared" si="26"/>
        <v>4</v>
      </c>
      <c r="AV35" s="24">
        <f t="shared" si="26"/>
        <v>0</v>
      </c>
      <c r="AW35" s="24">
        <f t="shared" si="27"/>
        <v>6</v>
      </c>
      <c r="AX35" s="24">
        <f t="shared" si="28"/>
        <v>6</v>
      </c>
      <c r="AY35" s="24">
        <f t="shared" si="29"/>
        <v>6</v>
      </c>
      <c r="AZ35" s="24">
        <f t="shared" si="29"/>
        <v>6</v>
      </c>
      <c r="BA35" s="24">
        <f t="shared" si="50"/>
        <v>0</v>
      </c>
      <c r="BB35" s="24">
        <f t="shared" si="51"/>
        <v>3</v>
      </c>
      <c r="BC35" s="24">
        <f t="shared" si="52"/>
        <v>5</v>
      </c>
      <c r="BD35" s="24">
        <f t="shared" si="53"/>
        <v>0</v>
      </c>
      <c r="BE35" s="24">
        <f t="shared" si="54"/>
        <v>24</v>
      </c>
      <c r="BF35" s="24">
        <f t="shared" si="55"/>
        <v>0</v>
      </c>
      <c r="BG35" s="46">
        <f t="shared" si="56"/>
        <v>60</v>
      </c>
      <c r="BH35" s="24">
        <f t="shared" si="31"/>
        <v>105</v>
      </c>
      <c r="BI35" s="24">
        <f t="shared" si="32"/>
        <v>165</v>
      </c>
      <c r="BJ35" s="43">
        <f t="shared" si="17"/>
        <v>11</v>
      </c>
      <c r="BK35" s="44">
        <f t="shared" si="18"/>
        <v>5</v>
      </c>
    </row>
    <row r="36" spans="1:63" ht="12.75" customHeight="1" x14ac:dyDescent="0.2">
      <c r="A36" s="22">
        <v>32</v>
      </c>
      <c r="B36" s="22" t="s">
        <v>148</v>
      </c>
      <c r="C36" s="51" t="s">
        <v>149</v>
      </c>
      <c r="D36" s="51" t="str">
        <f t="shared" si="0"/>
        <v>Lang Alice</v>
      </c>
      <c r="E36" s="51" t="str">
        <f>$G36&amp;" ("&amp;D36&amp;")"</f>
        <v>536356 (Lang Alice)</v>
      </c>
      <c r="F36" s="51" t="e">
        <f>VLOOKUP($E36,#REF!,1,0)</f>
        <v>#REF!</v>
      </c>
      <c r="G36" s="179">
        <v>536356</v>
      </c>
      <c r="H36" s="53">
        <v>34297</v>
      </c>
      <c r="I36" s="54">
        <f t="shared" si="21"/>
        <v>1993</v>
      </c>
      <c r="J36" s="59" t="str">
        <f t="shared" si="49"/>
        <v/>
      </c>
      <c r="K36" s="23" t="s">
        <v>387</v>
      </c>
      <c r="L36" s="22">
        <v>8253</v>
      </c>
      <c r="M36" s="23" t="s">
        <v>33</v>
      </c>
      <c r="N36" s="22" t="s">
        <v>172</v>
      </c>
      <c r="O36" s="22"/>
      <c r="P36" s="56" t="s">
        <v>181</v>
      </c>
      <c r="Q36" s="15">
        <v>90</v>
      </c>
      <c r="R36" s="57">
        <v>2</v>
      </c>
      <c r="S36" s="189"/>
      <c r="T36" s="23"/>
      <c r="U36" s="23"/>
      <c r="V36" s="184"/>
      <c r="W36" s="23"/>
      <c r="X36" s="23"/>
      <c r="Y36" s="184"/>
      <c r="Z36" s="16"/>
      <c r="AA36" s="39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29"/>
      <c r="AR36" s="24">
        <f t="shared" si="23"/>
        <v>0</v>
      </c>
      <c r="AS36" s="24">
        <f t="shared" si="24"/>
        <v>0</v>
      </c>
      <c r="AT36" s="24">
        <f t="shared" si="25"/>
        <v>0</v>
      </c>
      <c r="AU36" s="24">
        <f t="shared" si="26"/>
        <v>0</v>
      </c>
      <c r="AV36" s="24">
        <f t="shared" si="26"/>
        <v>0</v>
      </c>
      <c r="AW36" s="24">
        <f t="shared" si="27"/>
        <v>0</v>
      </c>
      <c r="AX36" s="24">
        <f t="shared" si="28"/>
        <v>0</v>
      </c>
      <c r="AY36" s="24">
        <f t="shared" si="29"/>
        <v>0</v>
      </c>
      <c r="AZ36" s="24">
        <f t="shared" si="29"/>
        <v>0</v>
      </c>
      <c r="BA36" s="24">
        <f t="shared" si="50"/>
        <v>0</v>
      </c>
      <c r="BB36" s="24">
        <f t="shared" si="51"/>
        <v>0</v>
      </c>
      <c r="BC36" s="24">
        <f t="shared" si="52"/>
        <v>0</v>
      </c>
      <c r="BD36" s="24">
        <f t="shared" si="53"/>
        <v>0</v>
      </c>
      <c r="BE36" s="24">
        <f t="shared" si="54"/>
        <v>0</v>
      </c>
      <c r="BF36" s="24">
        <f t="shared" si="55"/>
        <v>0</v>
      </c>
      <c r="BG36" s="46">
        <f t="shared" si="56"/>
        <v>0</v>
      </c>
      <c r="BH36" s="24">
        <f t="shared" si="31"/>
        <v>0</v>
      </c>
      <c r="BI36" s="24">
        <f t="shared" si="32"/>
        <v>0</v>
      </c>
      <c r="BJ36" s="43">
        <f t="shared" si="17"/>
        <v>0</v>
      </c>
      <c r="BK36" s="44">
        <f t="shared" si="18"/>
        <v>0</v>
      </c>
    </row>
    <row r="37" spans="1:63" ht="12.75" customHeight="1" x14ac:dyDescent="0.2">
      <c r="A37" s="22">
        <v>33</v>
      </c>
      <c r="B37" s="22" t="s">
        <v>82</v>
      </c>
      <c r="C37" s="51" t="s">
        <v>83</v>
      </c>
      <c r="D37" s="51" t="str">
        <f t="shared" si="0"/>
        <v>Leu Philipp</v>
      </c>
      <c r="E37" s="51" t="str">
        <f t="shared" si="20"/>
        <v>160596 (Leu Philipp)</v>
      </c>
      <c r="F37" s="51" t="e">
        <f>VLOOKUP($E37,#REF!,1,0)</f>
        <v>#REF!</v>
      </c>
      <c r="G37" s="177">
        <v>160596</v>
      </c>
      <c r="H37" s="53">
        <v>27424</v>
      </c>
      <c r="I37" s="54">
        <f t="shared" si="21"/>
        <v>1975</v>
      </c>
      <c r="J37" s="59" t="str">
        <f t="shared" si="49"/>
        <v/>
      </c>
      <c r="K37" s="22" t="s">
        <v>163</v>
      </c>
      <c r="L37" s="22">
        <v>8252</v>
      </c>
      <c r="M37" s="22" t="s">
        <v>164</v>
      </c>
      <c r="N37" s="22" t="s">
        <v>123</v>
      </c>
      <c r="O37" s="22"/>
      <c r="P37" s="56"/>
      <c r="Q37" s="15">
        <v>90</v>
      </c>
      <c r="R37" s="57">
        <v>3</v>
      </c>
      <c r="S37" s="189" t="s">
        <v>365</v>
      </c>
      <c r="T37" s="64"/>
      <c r="U37" s="64"/>
      <c r="V37" s="23"/>
      <c r="W37" s="23">
        <v>1</v>
      </c>
      <c r="X37" s="23">
        <v>1</v>
      </c>
      <c r="Y37" s="184"/>
      <c r="Z37" s="39"/>
      <c r="AA37" s="39">
        <v>2</v>
      </c>
      <c r="AB37" s="40">
        <v>1</v>
      </c>
      <c r="AC37" s="40">
        <v>1</v>
      </c>
      <c r="AD37" s="40"/>
      <c r="AE37" s="40"/>
      <c r="AF37" s="40">
        <v>1</v>
      </c>
      <c r="AG37" s="40"/>
      <c r="AH37" s="40">
        <v>1</v>
      </c>
      <c r="AI37" s="40"/>
      <c r="AJ37" s="40"/>
      <c r="AK37" s="40">
        <v>1</v>
      </c>
      <c r="AL37" s="40"/>
      <c r="AM37" s="40"/>
      <c r="AN37" s="40">
        <v>3</v>
      </c>
      <c r="AO37" s="40"/>
      <c r="AP37" s="40"/>
      <c r="AQ37" s="183" t="s">
        <v>27</v>
      </c>
      <c r="AR37" s="24">
        <f t="shared" si="23"/>
        <v>10</v>
      </c>
      <c r="AS37" s="24">
        <f t="shared" si="24"/>
        <v>10</v>
      </c>
      <c r="AT37" s="24">
        <f t="shared" si="25"/>
        <v>5</v>
      </c>
      <c r="AU37" s="24">
        <f t="shared" si="26"/>
        <v>0</v>
      </c>
      <c r="AV37" s="24">
        <f t="shared" si="26"/>
        <v>0</v>
      </c>
      <c r="AW37" s="24">
        <f t="shared" si="27"/>
        <v>6</v>
      </c>
      <c r="AX37" s="24">
        <f t="shared" si="28"/>
        <v>0</v>
      </c>
      <c r="AY37" s="24">
        <f t="shared" si="29"/>
        <v>6</v>
      </c>
      <c r="AZ37" s="24">
        <f t="shared" si="29"/>
        <v>0</v>
      </c>
      <c r="BA37" s="24">
        <f t="shared" si="50"/>
        <v>0</v>
      </c>
      <c r="BB37" s="24">
        <f t="shared" si="51"/>
        <v>3</v>
      </c>
      <c r="BC37" s="24">
        <f t="shared" si="52"/>
        <v>0</v>
      </c>
      <c r="BD37" s="24">
        <f t="shared" si="53"/>
        <v>0</v>
      </c>
      <c r="BE37" s="24">
        <f t="shared" si="54"/>
        <v>6</v>
      </c>
      <c r="BF37" s="24">
        <f t="shared" si="55"/>
        <v>0</v>
      </c>
      <c r="BG37" s="46">
        <f t="shared" si="56"/>
        <v>0</v>
      </c>
      <c r="BH37" s="24">
        <f t="shared" si="31"/>
        <v>46</v>
      </c>
      <c r="BI37" s="24">
        <f t="shared" si="32"/>
        <v>46</v>
      </c>
      <c r="BJ37" s="43">
        <f t="shared" si="17"/>
        <v>3</v>
      </c>
      <c r="BK37" s="44">
        <f t="shared" si="18"/>
        <v>0</v>
      </c>
    </row>
    <row r="38" spans="1:63" ht="12.75" customHeight="1" x14ac:dyDescent="0.2">
      <c r="A38" s="22">
        <v>34</v>
      </c>
      <c r="B38" s="23" t="s">
        <v>62</v>
      </c>
      <c r="C38" s="51" t="s">
        <v>63</v>
      </c>
      <c r="D38" s="51" t="str">
        <f t="shared" si="0"/>
        <v>Mäder Ernst</v>
      </c>
      <c r="E38" s="51" t="str">
        <f t="shared" si="20"/>
        <v>160598 (Mäder Ernst)</v>
      </c>
      <c r="F38" s="51" t="e">
        <f>VLOOKUP($E38,#REF!,1,0)</f>
        <v>#REF!</v>
      </c>
      <c r="G38" s="177">
        <v>160598</v>
      </c>
      <c r="H38" s="53">
        <v>16732</v>
      </c>
      <c r="I38" s="54">
        <f t="shared" si="21"/>
        <v>1945</v>
      </c>
      <c r="J38" s="59" t="str">
        <f t="shared" si="49"/>
        <v>SV</v>
      </c>
      <c r="K38" s="22" t="s">
        <v>64</v>
      </c>
      <c r="L38" s="22">
        <v>8254</v>
      </c>
      <c r="M38" s="22" t="s">
        <v>37</v>
      </c>
      <c r="N38" s="22"/>
      <c r="O38" s="22" t="s">
        <v>65</v>
      </c>
      <c r="P38" s="56"/>
      <c r="Q38" s="15" t="s">
        <v>20</v>
      </c>
      <c r="R38" s="57"/>
      <c r="S38" s="189"/>
      <c r="T38" s="23"/>
      <c r="U38" s="23"/>
      <c r="V38" s="23"/>
      <c r="W38" s="23"/>
      <c r="X38" s="23"/>
      <c r="Y38" s="184"/>
      <c r="Z38" s="16"/>
      <c r="AA38" s="39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29"/>
      <c r="AR38" s="24">
        <f t="shared" si="23"/>
        <v>0</v>
      </c>
      <c r="AS38" s="24">
        <f t="shared" si="24"/>
        <v>0</v>
      </c>
      <c r="AT38" s="24">
        <f t="shared" si="25"/>
        <v>0</v>
      </c>
      <c r="AU38" s="24">
        <f t="shared" si="26"/>
        <v>0</v>
      </c>
      <c r="AV38" s="24">
        <f t="shared" si="26"/>
        <v>0</v>
      </c>
      <c r="AW38" s="24">
        <f t="shared" si="27"/>
        <v>0</v>
      </c>
      <c r="AX38" s="24">
        <f t="shared" si="28"/>
        <v>0</v>
      </c>
      <c r="AY38" s="24">
        <f t="shared" si="29"/>
        <v>0</v>
      </c>
      <c r="AZ38" s="24">
        <f t="shared" si="29"/>
        <v>0</v>
      </c>
      <c r="BA38" s="24">
        <f t="shared" si="50"/>
        <v>0</v>
      </c>
      <c r="BB38" s="24">
        <f t="shared" si="51"/>
        <v>0</v>
      </c>
      <c r="BC38" s="24">
        <f t="shared" si="52"/>
        <v>0</v>
      </c>
      <c r="BD38" s="24">
        <f t="shared" si="53"/>
        <v>0</v>
      </c>
      <c r="BE38" s="24">
        <f t="shared" si="54"/>
        <v>0</v>
      </c>
      <c r="BF38" s="24">
        <f t="shared" si="55"/>
        <v>0</v>
      </c>
      <c r="BG38" s="46">
        <f t="shared" si="56"/>
        <v>0</v>
      </c>
      <c r="BH38" s="24">
        <f t="shared" si="31"/>
        <v>0</v>
      </c>
      <c r="BI38" s="24">
        <f t="shared" si="32"/>
        <v>0</v>
      </c>
      <c r="BJ38" s="43">
        <f t="shared" si="17"/>
        <v>0</v>
      </c>
      <c r="BK38" s="44">
        <f t="shared" si="18"/>
        <v>0</v>
      </c>
    </row>
    <row r="39" spans="1:63" ht="12.75" customHeight="1" x14ac:dyDescent="0.2">
      <c r="A39" s="22">
        <v>35</v>
      </c>
      <c r="B39" s="22" t="s">
        <v>122</v>
      </c>
      <c r="C39" s="51" t="s">
        <v>44</v>
      </c>
      <c r="D39" s="51" t="str">
        <f t="shared" si="0"/>
        <v>Mathys Peter</v>
      </c>
      <c r="E39" s="51" t="str">
        <f t="shared" si="20"/>
        <v>160597 (Mathys Peter)</v>
      </c>
      <c r="F39" s="51" t="e">
        <f>VLOOKUP($E39,#REF!,1,0)</f>
        <v>#REF!</v>
      </c>
      <c r="G39" s="177">
        <v>160597</v>
      </c>
      <c r="H39" s="53">
        <v>21509</v>
      </c>
      <c r="I39" s="54">
        <f t="shared" si="21"/>
        <v>1958</v>
      </c>
      <c r="J39" s="59" t="str">
        <f t="shared" si="49"/>
        <v>V</v>
      </c>
      <c r="K39" s="60" t="s">
        <v>462</v>
      </c>
      <c r="L39" s="22">
        <v>8254</v>
      </c>
      <c r="M39" s="60" t="s">
        <v>37</v>
      </c>
      <c r="N39" s="22" t="s">
        <v>202</v>
      </c>
      <c r="O39" s="60" t="s">
        <v>127</v>
      </c>
      <c r="P39" s="56" t="s">
        <v>150</v>
      </c>
      <c r="Q39" s="15" t="s">
        <v>29</v>
      </c>
      <c r="R39" s="57">
        <v>3</v>
      </c>
      <c r="S39" s="189" t="s">
        <v>365</v>
      </c>
      <c r="T39" s="64"/>
      <c r="U39" s="64"/>
      <c r="V39" s="23"/>
      <c r="W39" s="23">
        <v>1</v>
      </c>
      <c r="X39" s="23">
        <v>1</v>
      </c>
      <c r="Y39" s="184"/>
      <c r="Z39" s="16"/>
      <c r="AA39" s="39">
        <v>4</v>
      </c>
      <c r="AB39" s="40">
        <v>1</v>
      </c>
      <c r="AC39" s="40">
        <v>1</v>
      </c>
      <c r="AD39" s="40"/>
      <c r="AE39" s="40"/>
      <c r="AF39" s="40">
        <v>1</v>
      </c>
      <c r="AG39" s="40"/>
      <c r="AH39" s="40">
        <v>1</v>
      </c>
      <c r="AI39" s="40"/>
      <c r="AJ39" s="40"/>
      <c r="AK39" s="40"/>
      <c r="AL39" s="40">
        <v>1</v>
      </c>
      <c r="AM39" s="40"/>
      <c r="AN39" s="40"/>
      <c r="AO39" s="40"/>
      <c r="AP39" s="40">
        <v>1</v>
      </c>
      <c r="AQ39" s="191" t="s">
        <v>27</v>
      </c>
      <c r="AR39" s="24">
        <f>AA39*AA$4</f>
        <v>20</v>
      </c>
      <c r="AS39" s="24">
        <f t="shared" si="24"/>
        <v>10</v>
      </c>
      <c r="AT39" s="24">
        <f t="shared" ref="AT39:AW43" si="78">AC39*AC$4</f>
        <v>5</v>
      </c>
      <c r="AU39" s="24">
        <f t="shared" si="78"/>
        <v>0</v>
      </c>
      <c r="AV39" s="24">
        <f t="shared" si="78"/>
        <v>0</v>
      </c>
      <c r="AW39" s="24">
        <f t="shared" si="78"/>
        <v>6</v>
      </c>
      <c r="AX39" s="24">
        <f t="shared" si="28"/>
        <v>0</v>
      </c>
      <c r="AY39" s="24">
        <f t="shared" si="29"/>
        <v>6</v>
      </c>
      <c r="AZ39" s="24">
        <f t="shared" si="29"/>
        <v>0</v>
      </c>
      <c r="BA39" s="24">
        <f t="shared" si="50"/>
        <v>0</v>
      </c>
      <c r="BB39" s="24">
        <f t="shared" si="51"/>
        <v>0</v>
      </c>
      <c r="BC39" s="24">
        <f t="shared" si="52"/>
        <v>5</v>
      </c>
      <c r="BD39" s="24">
        <f t="shared" si="53"/>
        <v>0</v>
      </c>
      <c r="BE39" s="24">
        <f t="shared" si="54"/>
        <v>0</v>
      </c>
      <c r="BF39" s="24">
        <f t="shared" si="55"/>
        <v>0</v>
      </c>
      <c r="BG39" s="46">
        <f t="shared" si="56"/>
        <v>60</v>
      </c>
      <c r="BH39" s="24">
        <f t="shared" si="31"/>
        <v>52</v>
      </c>
      <c r="BI39" s="24">
        <f t="shared" si="32"/>
        <v>112</v>
      </c>
      <c r="BJ39" s="43">
        <f t="shared" si="17"/>
        <v>8</v>
      </c>
      <c r="BK39" s="44">
        <f t="shared" si="18"/>
        <v>5</v>
      </c>
    </row>
    <row r="40" spans="1:63" ht="12.75" customHeight="1" x14ac:dyDescent="0.2">
      <c r="A40" s="22">
        <v>36</v>
      </c>
      <c r="B40" s="23" t="s">
        <v>350</v>
      </c>
      <c r="C40" s="58" t="s">
        <v>405</v>
      </c>
      <c r="D40" s="51" t="str">
        <f t="shared" si="0"/>
        <v>Maurer Maik</v>
      </c>
      <c r="E40" s="51" t="str">
        <f>$G40&amp;" ("&amp;D40&amp;")"</f>
        <v>910442 (Maurer Maik)</v>
      </c>
      <c r="F40" s="51" t="e">
        <f>VLOOKUP($E40,#REF!,1,0)</f>
        <v>#REF!</v>
      </c>
      <c r="G40" s="179">
        <v>910442</v>
      </c>
      <c r="H40" s="53">
        <v>37747</v>
      </c>
      <c r="I40" s="54">
        <f t="shared" si="21"/>
        <v>2003</v>
      </c>
      <c r="J40" s="55" t="str">
        <f>IF(YEAR($K$1)-I40&lt;=14,"JJ",IF(YEAR($K$1)-I40&lt;=20,"J",IF(YEAR($K$1)-I40&gt;=70,"SV",IF(YEAR($K$1)-I40&gt;=60,"V",""))))</f>
        <v/>
      </c>
      <c r="K40" s="23" t="s">
        <v>351</v>
      </c>
      <c r="L40" s="22">
        <v>8255</v>
      </c>
      <c r="M40" s="23" t="s">
        <v>158</v>
      </c>
      <c r="N40" s="23" t="s">
        <v>352</v>
      </c>
      <c r="O40" s="22"/>
      <c r="P40" s="56" t="s">
        <v>353</v>
      </c>
      <c r="Q40" s="15">
        <v>90</v>
      </c>
      <c r="R40" s="57"/>
      <c r="S40" s="80"/>
      <c r="T40" s="23"/>
      <c r="U40" s="23"/>
      <c r="V40" s="23"/>
      <c r="W40" s="23"/>
      <c r="X40" s="23"/>
      <c r="Y40" s="23"/>
      <c r="Z40" s="16"/>
      <c r="AA40" s="39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29"/>
      <c r="AR40" s="24">
        <f>AA40*AA$4</f>
        <v>0</v>
      </c>
      <c r="AS40" s="24">
        <f>AB40*AB$4</f>
        <v>0</v>
      </c>
      <c r="AT40" s="24">
        <f t="shared" si="78"/>
        <v>0</v>
      </c>
      <c r="AU40" s="24">
        <f t="shared" si="78"/>
        <v>0</v>
      </c>
      <c r="AV40" s="24">
        <f t="shared" si="78"/>
        <v>0</v>
      </c>
      <c r="AW40" s="24">
        <f t="shared" si="78"/>
        <v>0</v>
      </c>
      <c r="AX40" s="24">
        <f t="shared" ref="AX40:AZ43" si="79">AG40*AG$4</f>
        <v>0</v>
      </c>
      <c r="AY40" s="24">
        <f t="shared" si="79"/>
        <v>0</v>
      </c>
      <c r="AZ40" s="24">
        <f t="shared" si="79"/>
        <v>0</v>
      </c>
      <c r="BA40" s="24">
        <f t="shared" si="50"/>
        <v>0</v>
      </c>
      <c r="BB40" s="24">
        <f t="shared" si="51"/>
        <v>0</v>
      </c>
      <c r="BC40" s="24">
        <f t="shared" si="52"/>
        <v>0</v>
      </c>
      <c r="BD40" s="24">
        <f t="shared" si="53"/>
        <v>0</v>
      </c>
      <c r="BE40" s="24">
        <f t="shared" si="54"/>
        <v>0</v>
      </c>
      <c r="BF40" s="24">
        <f t="shared" si="55"/>
        <v>0</v>
      </c>
      <c r="BG40" s="46">
        <f t="shared" si="56"/>
        <v>0</v>
      </c>
      <c r="BH40" s="24">
        <f t="shared" si="31"/>
        <v>0</v>
      </c>
      <c r="BI40" s="24">
        <f t="shared" si="32"/>
        <v>0</v>
      </c>
      <c r="BJ40" s="43">
        <f t="shared" si="17"/>
        <v>0</v>
      </c>
      <c r="BK40" s="44">
        <f t="shared" si="18"/>
        <v>0</v>
      </c>
    </row>
    <row r="41" spans="1:63" ht="12.75" customHeight="1" x14ac:dyDescent="0.2">
      <c r="A41" s="22">
        <v>37</v>
      </c>
      <c r="B41" s="23" t="s">
        <v>55</v>
      </c>
      <c r="C41" s="58" t="s">
        <v>56</v>
      </c>
      <c r="D41" s="51" t="str">
        <f t="shared" si="0"/>
        <v>Meier Hans</v>
      </c>
      <c r="E41" s="51" t="str">
        <f>$G41&amp;" ("&amp;D41&amp;")"</f>
        <v>160619 (Meier Hans)</v>
      </c>
      <c r="F41" s="51" t="e">
        <f>VLOOKUP($E41,#REF!,1,0)</f>
        <v>#REF!</v>
      </c>
      <c r="G41" s="179">
        <v>160619</v>
      </c>
      <c r="H41" s="61">
        <v>17072</v>
      </c>
      <c r="I41" s="62">
        <f>YEAR(H41)</f>
        <v>1946</v>
      </c>
      <c r="J41" s="63" t="str">
        <f>IF(YEAR($K$1)-I41&lt;=14,"JJ",IF(YEAR($K$1)-I41&lt;=20,"J",IF(YEAR($K$1)-I41&gt;=70,"SV",IF(YEAR($K$1)-I41&gt;=60,"V",""))))</f>
        <v>SV</v>
      </c>
      <c r="K41" s="23" t="s">
        <v>57</v>
      </c>
      <c r="L41" s="23">
        <v>8253</v>
      </c>
      <c r="M41" s="23" t="s">
        <v>33</v>
      </c>
      <c r="N41" s="23" t="s">
        <v>58</v>
      </c>
      <c r="O41" s="23"/>
      <c r="P41" s="56" t="s">
        <v>169</v>
      </c>
      <c r="Q41" s="40" t="s">
        <v>19</v>
      </c>
      <c r="R41" s="64">
        <v>2</v>
      </c>
      <c r="S41" s="189"/>
      <c r="T41" s="23"/>
      <c r="U41" s="23"/>
      <c r="V41" s="23"/>
      <c r="W41" s="23"/>
      <c r="X41" s="23"/>
      <c r="Y41" s="184"/>
      <c r="Z41" s="16"/>
      <c r="AA41" s="39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29"/>
      <c r="AR41" s="24">
        <f>AA41*AA$4</f>
        <v>0</v>
      </c>
      <c r="AS41" s="24">
        <f>AB41*AB$4</f>
        <v>0</v>
      </c>
      <c r="AT41" s="24">
        <f t="shared" ref="AT41:AZ42" si="80">AC41*AC$4</f>
        <v>0</v>
      </c>
      <c r="AU41" s="24">
        <f t="shared" si="80"/>
        <v>0</v>
      </c>
      <c r="AV41" s="24">
        <f t="shared" si="80"/>
        <v>0</v>
      </c>
      <c r="AW41" s="24">
        <f t="shared" si="80"/>
        <v>0</v>
      </c>
      <c r="AX41" s="24">
        <f t="shared" si="80"/>
        <v>0</v>
      </c>
      <c r="AY41" s="24">
        <f t="shared" si="80"/>
        <v>0</v>
      </c>
      <c r="AZ41" s="24">
        <f t="shared" si="80"/>
        <v>0</v>
      </c>
      <c r="BA41" s="24">
        <f t="shared" ref="BA41:BG42" si="81">AJ41*AJ$4</f>
        <v>0</v>
      </c>
      <c r="BB41" s="24">
        <f t="shared" si="81"/>
        <v>0</v>
      </c>
      <c r="BC41" s="24">
        <f t="shared" si="81"/>
        <v>0</v>
      </c>
      <c r="BD41" s="24">
        <f t="shared" si="81"/>
        <v>0</v>
      </c>
      <c r="BE41" s="24">
        <f t="shared" si="81"/>
        <v>0</v>
      </c>
      <c r="BF41" s="24">
        <f t="shared" si="81"/>
        <v>0</v>
      </c>
      <c r="BG41" s="46">
        <f t="shared" si="81"/>
        <v>0</v>
      </c>
      <c r="BH41" s="24">
        <f>SUM(AR41:BE41)</f>
        <v>0</v>
      </c>
      <c r="BI41" s="24">
        <f>SUM(AR41:BG41)</f>
        <v>0</v>
      </c>
      <c r="BJ41" s="43">
        <f t="shared" si="17"/>
        <v>0</v>
      </c>
      <c r="BK41" s="44">
        <f t="shared" si="18"/>
        <v>0</v>
      </c>
    </row>
    <row r="42" spans="1:63" ht="12.75" customHeight="1" x14ac:dyDescent="0.2">
      <c r="A42" s="22">
        <v>38</v>
      </c>
      <c r="B42" s="23" t="s">
        <v>55</v>
      </c>
      <c r="C42" s="58" t="s">
        <v>435</v>
      </c>
      <c r="D42" s="51" t="str">
        <f t="shared" si="0"/>
        <v>Meier Leonard</v>
      </c>
      <c r="E42" s="51" t="str">
        <f t="shared" ref="E42" si="82">$G42&amp;" ("&amp;D42&amp;")"</f>
        <v>011512 (Meier Leonard)</v>
      </c>
      <c r="F42" s="51" t="e">
        <f>VLOOKUP($E42,#REF!,1,0)</f>
        <v>#REF!</v>
      </c>
      <c r="G42" s="171" t="s">
        <v>436</v>
      </c>
      <c r="H42" s="61">
        <v>40745</v>
      </c>
      <c r="I42" s="62">
        <f t="shared" ref="I42" si="83">YEAR(H42)</f>
        <v>2011</v>
      </c>
      <c r="J42" s="63" t="str">
        <f t="shared" ref="J42" si="84">IF(YEAR($K$1)-I42&lt;=14,"JJ",IF(YEAR($K$1)-I42&lt;=20,"J",IF(YEAR($K$1)-I42&gt;=70,"SV",IF(YEAR($K$1)-I42&gt;=60,"V",""))))</f>
        <v>JJ</v>
      </c>
      <c r="K42" s="23" t="s">
        <v>272</v>
      </c>
      <c r="L42" s="23">
        <v>8254</v>
      </c>
      <c r="M42" s="23" t="s">
        <v>37</v>
      </c>
      <c r="N42" s="23"/>
      <c r="O42" s="23"/>
      <c r="P42" s="56"/>
      <c r="Q42" s="40">
        <v>90</v>
      </c>
      <c r="R42" s="64"/>
      <c r="S42" s="80"/>
      <c r="T42" s="23"/>
      <c r="U42" s="23"/>
      <c r="V42" s="23"/>
      <c r="W42" s="23"/>
      <c r="X42" s="23"/>
      <c r="Y42" s="23"/>
      <c r="Z42" s="16"/>
      <c r="AA42" s="39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29"/>
      <c r="AR42" s="24">
        <f>AA42*AA$4</f>
        <v>0</v>
      </c>
      <c r="AS42" s="24">
        <f>AB42*AB$4</f>
        <v>0</v>
      </c>
      <c r="AT42" s="24">
        <f t="shared" si="80"/>
        <v>0</v>
      </c>
      <c r="AU42" s="24">
        <f t="shared" si="80"/>
        <v>0</v>
      </c>
      <c r="AV42" s="24">
        <f t="shared" si="80"/>
        <v>0</v>
      </c>
      <c r="AW42" s="24">
        <f t="shared" si="80"/>
        <v>0</v>
      </c>
      <c r="AX42" s="24">
        <f t="shared" si="80"/>
        <v>0</v>
      </c>
      <c r="AY42" s="24">
        <f t="shared" si="80"/>
        <v>0</v>
      </c>
      <c r="AZ42" s="24">
        <f t="shared" si="80"/>
        <v>0</v>
      </c>
      <c r="BA42" s="24">
        <f t="shared" si="81"/>
        <v>0</v>
      </c>
      <c r="BB42" s="24">
        <f t="shared" si="81"/>
        <v>0</v>
      </c>
      <c r="BC42" s="24">
        <f t="shared" si="81"/>
        <v>0</v>
      </c>
      <c r="BD42" s="24">
        <f t="shared" si="81"/>
        <v>0</v>
      </c>
      <c r="BE42" s="24">
        <f t="shared" si="81"/>
        <v>0</v>
      </c>
      <c r="BF42" s="24">
        <f t="shared" si="81"/>
        <v>0</v>
      </c>
      <c r="BG42" s="46">
        <f t="shared" si="81"/>
        <v>0</v>
      </c>
      <c r="BH42" s="24">
        <f t="shared" ref="BH42" si="85">SUM(AR42:BE42)</f>
        <v>0</v>
      </c>
      <c r="BI42" s="24">
        <f t="shared" ref="BI42" si="86">SUM(AR42:BG42)</f>
        <v>0</v>
      </c>
      <c r="BJ42" s="43">
        <f t="shared" si="17"/>
        <v>0</v>
      </c>
      <c r="BK42" s="44">
        <f t="shared" si="18"/>
        <v>0</v>
      </c>
    </row>
    <row r="43" spans="1:63" ht="12.75" customHeight="1" x14ac:dyDescent="0.2">
      <c r="A43" s="22">
        <v>39</v>
      </c>
      <c r="B43" s="23" t="s">
        <v>55</v>
      </c>
      <c r="C43" s="58" t="s">
        <v>410</v>
      </c>
      <c r="D43" s="51" t="str">
        <f t="shared" si="0"/>
        <v>Meier Matteo</v>
      </c>
      <c r="E43" s="51" t="str">
        <f t="shared" si="20"/>
        <v>978690 (Meier Matteo)</v>
      </c>
      <c r="F43" s="51" t="e">
        <f>VLOOKUP($E43,#REF!,1,0)</f>
        <v>#REF!</v>
      </c>
      <c r="G43" s="179">
        <v>978690</v>
      </c>
      <c r="H43" s="61">
        <v>38971</v>
      </c>
      <c r="I43" s="62">
        <f t="shared" si="21"/>
        <v>2006</v>
      </c>
      <c r="J43" s="63" t="str">
        <f t="shared" si="49"/>
        <v>J</v>
      </c>
      <c r="K43" s="23" t="s">
        <v>411</v>
      </c>
      <c r="L43" s="23">
        <v>8254</v>
      </c>
      <c r="M43" s="23" t="s">
        <v>37</v>
      </c>
      <c r="N43" s="23"/>
      <c r="O43" s="23"/>
      <c r="P43" s="56"/>
      <c r="Q43" s="40">
        <v>90</v>
      </c>
      <c r="R43" s="64"/>
      <c r="S43" s="80"/>
      <c r="T43" s="23"/>
      <c r="U43" s="23"/>
      <c r="V43" s="23"/>
      <c r="W43" s="23"/>
      <c r="X43" s="23"/>
      <c r="Y43" s="23"/>
      <c r="Z43" s="16"/>
      <c r="AA43" s="39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29"/>
      <c r="AR43" s="24">
        <f>AA43*AA$4</f>
        <v>0</v>
      </c>
      <c r="AS43" s="24">
        <f>AB43*AB$4</f>
        <v>0</v>
      </c>
      <c r="AT43" s="24">
        <f t="shared" si="78"/>
        <v>0</v>
      </c>
      <c r="AU43" s="24">
        <f t="shared" si="78"/>
        <v>0</v>
      </c>
      <c r="AV43" s="24">
        <f t="shared" si="78"/>
        <v>0</v>
      </c>
      <c r="AW43" s="24">
        <f t="shared" si="78"/>
        <v>0</v>
      </c>
      <c r="AX43" s="24">
        <f t="shared" si="79"/>
        <v>0</v>
      </c>
      <c r="AY43" s="24">
        <f t="shared" si="79"/>
        <v>0</v>
      </c>
      <c r="AZ43" s="24">
        <f t="shared" si="79"/>
        <v>0</v>
      </c>
      <c r="BA43" s="24">
        <f t="shared" ref="BA43:BG43" si="87">AJ43*AJ$4</f>
        <v>0</v>
      </c>
      <c r="BB43" s="24">
        <f t="shared" si="87"/>
        <v>0</v>
      </c>
      <c r="BC43" s="24">
        <f t="shared" si="87"/>
        <v>0</v>
      </c>
      <c r="BD43" s="24">
        <f t="shared" si="87"/>
        <v>0</v>
      </c>
      <c r="BE43" s="24">
        <f t="shared" si="87"/>
        <v>0</v>
      </c>
      <c r="BF43" s="24">
        <f t="shared" si="87"/>
        <v>0</v>
      </c>
      <c r="BG43" s="46">
        <f t="shared" si="87"/>
        <v>0</v>
      </c>
      <c r="BH43" s="24">
        <f t="shared" si="31"/>
        <v>0</v>
      </c>
      <c r="BI43" s="24">
        <f t="shared" si="32"/>
        <v>0</v>
      </c>
      <c r="BJ43" s="43">
        <f t="shared" si="17"/>
        <v>0</v>
      </c>
      <c r="BK43" s="44">
        <f t="shared" si="18"/>
        <v>0</v>
      </c>
    </row>
    <row r="44" spans="1:63" ht="12.75" customHeight="1" x14ac:dyDescent="0.2">
      <c r="A44" s="22">
        <v>40</v>
      </c>
      <c r="B44" s="23" t="s">
        <v>157</v>
      </c>
      <c r="C44" s="58" t="s">
        <v>44</v>
      </c>
      <c r="D44" s="51" t="str">
        <f t="shared" si="0"/>
        <v>Meister Peter</v>
      </c>
      <c r="E44" s="51" t="str">
        <f t="shared" si="20"/>
        <v>119166 (Meister Peter)</v>
      </c>
      <c r="F44" s="51" t="e">
        <f>VLOOKUP($E44,#REF!,1,0)</f>
        <v>#REF!</v>
      </c>
      <c r="G44" s="179">
        <v>119166</v>
      </c>
      <c r="H44" s="61">
        <v>20203</v>
      </c>
      <c r="I44" s="62">
        <f t="shared" si="21"/>
        <v>1955</v>
      </c>
      <c r="J44" s="63" t="str">
        <f t="shared" si="49"/>
        <v>V</v>
      </c>
      <c r="K44" s="23" t="s">
        <v>372</v>
      </c>
      <c r="L44" s="23">
        <v>8253</v>
      </c>
      <c r="M44" s="23" t="s">
        <v>33</v>
      </c>
      <c r="N44" s="23" t="s">
        <v>159</v>
      </c>
      <c r="O44" s="23"/>
      <c r="P44" s="56"/>
      <c r="Q44" s="40" t="s">
        <v>20</v>
      </c>
      <c r="R44" s="64">
        <v>3</v>
      </c>
      <c r="S44" s="189" t="s">
        <v>365</v>
      </c>
      <c r="T44" s="64"/>
      <c r="U44" s="64"/>
      <c r="V44" s="23"/>
      <c r="W44" s="23">
        <v>1</v>
      </c>
      <c r="X44" s="23">
        <v>1</v>
      </c>
      <c r="Y44" s="184"/>
      <c r="Z44" s="16"/>
      <c r="AA44" s="39">
        <v>2</v>
      </c>
      <c r="AB44" s="40">
        <v>1</v>
      </c>
      <c r="AC44" s="40">
        <v>1</v>
      </c>
      <c r="AD44" s="40"/>
      <c r="AE44" s="40"/>
      <c r="AF44" s="40">
        <v>1</v>
      </c>
      <c r="AG44" s="40">
        <v>1</v>
      </c>
      <c r="AH44" s="40">
        <v>1</v>
      </c>
      <c r="AI44" s="40"/>
      <c r="AJ44" s="40"/>
      <c r="AK44" s="40">
        <v>1</v>
      </c>
      <c r="AL44" s="40">
        <v>1</v>
      </c>
      <c r="AM44" s="40"/>
      <c r="AN44" s="40">
        <v>10</v>
      </c>
      <c r="AO44" s="40"/>
      <c r="AP44" s="40"/>
      <c r="AQ44" s="183" t="s">
        <v>27</v>
      </c>
      <c r="AR44" s="24">
        <f t="shared" si="23"/>
        <v>10</v>
      </c>
      <c r="AS44" s="24">
        <f t="shared" si="24"/>
        <v>10</v>
      </c>
      <c r="AT44" s="24">
        <f t="shared" si="25"/>
        <v>5</v>
      </c>
      <c r="AU44" s="24">
        <f t="shared" si="26"/>
        <v>0</v>
      </c>
      <c r="AV44" s="24">
        <f t="shared" si="26"/>
        <v>0</v>
      </c>
      <c r="AW44" s="24">
        <f t="shared" si="27"/>
        <v>6</v>
      </c>
      <c r="AX44" s="24">
        <f t="shared" si="28"/>
        <v>6</v>
      </c>
      <c r="AY44" s="24">
        <f t="shared" si="29"/>
        <v>6</v>
      </c>
      <c r="AZ44" s="24">
        <f t="shared" si="29"/>
        <v>0</v>
      </c>
      <c r="BA44" s="24">
        <f t="shared" si="50"/>
        <v>0</v>
      </c>
      <c r="BB44" s="24">
        <f t="shared" si="51"/>
        <v>3</v>
      </c>
      <c r="BC44" s="24">
        <f t="shared" si="52"/>
        <v>5</v>
      </c>
      <c r="BD44" s="24">
        <f t="shared" si="53"/>
        <v>0</v>
      </c>
      <c r="BE44" s="24">
        <f t="shared" si="54"/>
        <v>20</v>
      </c>
      <c r="BF44" s="24">
        <f t="shared" si="55"/>
        <v>0</v>
      </c>
      <c r="BG44" s="46">
        <f t="shared" si="56"/>
        <v>0</v>
      </c>
      <c r="BH44" s="24">
        <f t="shared" si="31"/>
        <v>71</v>
      </c>
      <c r="BI44" s="24">
        <f t="shared" si="32"/>
        <v>71</v>
      </c>
      <c r="BJ44" s="43">
        <f t="shared" si="17"/>
        <v>4</v>
      </c>
      <c r="BK44" s="44">
        <f t="shared" si="18"/>
        <v>0</v>
      </c>
    </row>
    <row r="45" spans="1:63" ht="12.75" customHeight="1" x14ac:dyDescent="0.2">
      <c r="A45" s="22">
        <v>41</v>
      </c>
      <c r="B45" s="23" t="s">
        <v>437</v>
      </c>
      <c r="C45" s="58" t="s">
        <v>438</v>
      </c>
      <c r="D45" s="51" t="str">
        <f t="shared" si="0"/>
        <v>Meuwly Gian</v>
      </c>
      <c r="E45" s="51" t="str">
        <f t="shared" si="20"/>
        <v>011510 (Meuwly Gian)</v>
      </c>
      <c r="F45" s="51" t="e">
        <f>VLOOKUP($E45,#REF!,1,0)</f>
        <v>#REF!</v>
      </c>
      <c r="G45" s="171" t="s">
        <v>439</v>
      </c>
      <c r="H45" s="61">
        <v>40742</v>
      </c>
      <c r="I45" s="62">
        <f t="shared" si="21"/>
        <v>2011</v>
      </c>
      <c r="J45" s="63" t="str">
        <f t="shared" si="49"/>
        <v>JJ</v>
      </c>
      <c r="K45" s="23" t="s">
        <v>440</v>
      </c>
      <c r="L45" s="23">
        <v>8252</v>
      </c>
      <c r="M45" s="23" t="s">
        <v>164</v>
      </c>
      <c r="N45" s="23"/>
      <c r="O45" s="23"/>
      <c r="P45" s="56"/>
      <c r="Q45" s="40">
        <v>90</v>
      </c>
      <c r="R45" s="64"/>
      <c r="S45" s="80"/>
      <c r="T45" s="23"/>
      <c r="U45" s="23"/>
      <c r="V45" s="23"/>
      <c r="W45" s="23"/>
      <c r="X45" s="23"/>
      <c r="Y45" s="23"/>
      <c r="Z45" s="16"/>
      <c r="AA45" s="3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29"/>
      <c r="AR45" s="24">
        <f>AA45*AA$4</f>
        <v>0</v>
      </c>
      <c r="AS45" s="24">
        <f>AB45*AB$4</f>
        <v>0</v>
      </c>
      <c r="AT45" s="24">
        <f t="shared" si="25"/>
        <v>0</v>
      </c>
      <c r="AU45" s="24">
        <f t="shared" si="26"/>
        <v>0</v>
      </c>
      <c r="AV45" s="24">
        <f t="shared" si="26"/>
        <v>0</v>
      </c>
      <c r="AW45" s="24">
        <f t="shared" si="27"/>
        <v>0</v>
      </c>
      <c r="AX45" s="24">
        <f t="shared" si="28"/>
        <v>0</v>
      </c>
      <c r="AY45" s="24">
        <f t="shared" si="29"/>
        <v>0</v>
      </c>
      <c r="AZ45" s="24">
        <f t="shared" si="29"/>
        <v>0</v>
      </c>
      <c r="BA45" s="24">
        <f t="shared" si="50"/>
        <v>0</v>
      </c>
      <c r="BB45" s="24">
        <f t="shared" si="51"/>
        <v>0</v>
      </c>
      <c r="BC45" s="24">
        <f t="shared" si="52"/>
        <v>0</v>
      </c>
      <c r="BD45" s="24">
        <f t="shared" si="53"/>
        <v>0</v>
      </c>
      <c r="BE45" s="24">
        <f t="shared" si="54"/>
        <v>0</v>
      </c>
      <c r="BF45" s="24">
        <f t="shared" si="55"/>
        <v>0</v>
      </c>
      <c r="BG45" s="46">
        <f t="shared" si="56"/>
        <v>0</v>
      </c>
      <c r="BH45" s="24">
        <f t="shared" si="31"/>
        <v>0</v>
      </c>
      <c r="BI45" s="24">
        <f t="shared" si="32"/>
        <v>0</v>
      </c>
      <c r="BJ45" s="43">
        <f t="shared" si="17"/>
        <v>0</v>
      </c>
      <c r="BK45" s="44">
        <f t="shared" si="18"/>
        <v>0</v>
      </c>
    </row>
    <row r="46" spans="1:63" s="23" customFormat="1" ht="12.75" customHeight="1" x14ac:dyDescent="0.2">
      <c r="A46" s="22">
        <v>42</v>
      </c>
      <c r="B46" s="23" t="s">
        <v>314</v>
      </c>
      <c r="C46" s="58" t="s">
        <v>374</v>
      </c>
      <c r="D46" s="51" t="str">
        <f t="shared" si="0"/>
        <v>Möckli Basil</v>
      </c>
      <c r="E46" s="51" t="str">
        <f>$G46&amp;" ("&amp;D46&amp;")"</f>
        <v>839889 (Möckli Basil)</v>
      </c>
      <c r="F46" s="51" t="e">
        <f>VLOOKUP($E46,#REF!,1,0)</f>
        <v>#REF!</v>
      </c>
      <c r="G46" s="179">
        <v>839889</v>
      </c>
      <c r="H46" s="61">
        <v>38264</v>
      </c>
      <c r="I46" s="62">
        <f>YEAR(H46)</f>
        <v>2004</v>
      </c>
      <c r="J46" s="63" t="str">
        <f>IF(YEAR($K$1)-I46&lt;=14,"JJ",IF(YEAR($K$1)-I46&lt;=20,"J",IF(YEAR($K$1)-I46&gt;=70,"SV",IF(YEAR($K$1)-I46&gt;=60,"V",""))))</f>
        <v>J</v>
      </c>
      <c r="K46" s="23" t="s">
        <v>332</v>
      </c>
      <c r="L46" s="23">
        <v>8254</v>
      </c>
      <c r="M46" s="23" t="s">
        <v>37</v>
      </c>
      <c r="N46" s="23" t="s">
        <v>375</v>
      </c>
      <c r="P46" s="56" t="s">
        <v>376</v>
      </c>
      <c r="Q46" s="40">
        <v>90</v>
      </c>
      <c r="R46" s="64"/>
      <c r="S46" s="80"/>
      <c r="Z46" s="39"/>
      <c r="AA46" s="39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29"/>
      <c r="AR46" s="41">
        <f t="shared" si="23"/>
        <v>0</v>
      </c>
      <c r="AS46" s="41">
        <f t="shared" si="24"/>
        <v>0</v>
      </c>
      <c r="AT46" s="41">
        <f t="shared" si="25"/>
        <v>0</v>
      </c>
      <c r="AU46" s="41">
        <f t="shared" si="26"/>
        <v>0</v>
      </c>
      <c r="AV46" s="41">
        <f t="shared" si="26"/>
        <v>0</v>
      </c>
      <c r="AW46" s="41">
        <f t="shared" si="27"/>
        <v>0</v>
      </c>
      <c r="AX46" s="41">
        <f t="shared" si="28"/>
        <v>0</v>
      </c>
      <c r="AY46" s="41">
        <f t="shared" si="29"/>
        <v>0</v>
      </c>
      <c r="AZ46" s="41">
        <f t="shared" si="29"/>
        <v>0</v>
      </c>
      <c r="BA46" s="41">
        <f t="shared" si="50"/>
        <v>0</v>
      </c>
      <c r="BB46" s="41">
        <f t="shared" si="51"/>
        <v>0</v>
      </c>
      <c r="BC46" s="41">
        <f t="shared" si="52"/>
        <v>0</v>
      </c>
      <c r="BD46" s="41">
        <f t="shared" si="53"/>
        <v>0</v>
      </c>
      <c r="BE46" s="41">
        <f t="shared" si="54"/>
        <v>0</v>
      </c>
      <c r="BF46" s="41">
        <f t="shared" si="55"/>
        <v>0</v>
      </c>
      <c r="BG46" s="42">
        <f t="shared" si="56"/>
        <v>0</v>
      </c>
      <c r="BH46" s="41">
        <f>SUM(AR46:BE46)</f>
        <v>0</v>
      </c>
      <c r="BI46" s="41">
        <f>SUM(AR46:BG46)</f>
        <v>0</v>
      </c>
      <c r="BJ46" s="43">
        <f t="shared" ref="BJ46:BJ73" si="88">ROUNDUP($BH46/20,0)+$AO46*4+$AP46*5</f>
        <v>0</v>
      </c>
      <c r="BK46" s="44">
        <f t="shared" si="18"/>
        <v>0</v>
      </c>
    </row>
    <row r="47" spans="1:63" s="23" customFormat="1" ht="12.75" customHeight="1" x14ac:dyDescent="0.2">
      <c r="A47" s="22">
        <v>43</v>
      </c>
      <c r="B47" s="23" t="s">
        <v>314</v>
      </c>
      <c r="C47" s="58" t="s">
        <v>412</v>
      </c>
      <c r="D47" s="51" t="str">
        <f t="shared" si="0"/>
        <v>Möckli Damian</v>
      </c>
      <c r="E47" s="51" t="str">
        <f>$G47&amp;" ("&amp;D47&amp;")"</f>
        <v>978691 (Möckli Damian)</v>
      </c>
      <c r="F47" s="51" t="e">
        <f>VLOOKUP($E47,#REF!,1,0)</f>
        <v>#REF!</v>
      </c>
      <c r="G47" s="179">
        <v>978691</v>
      </c>
      <c r="H47" s="61">
        <v>39109</v>
      </c>
      <c r="I47" s="62">
        <f t="shared" ref="I47" si="89">YEAR(H47)</f>
        <v>2007</v>
      </c>
      <c r="J47" s="63" t="str">
        <f>IF(YEAR($K$1)-I47&lt;=14,"JJ",IF(YEAR($K$1)-I47&lt;=20,"J",IF(YEAR($K$1)-I47&gt;=70,"SV",IF(YEAR($K$1)-I47&gt;=60,"V",""))))</f>
        <v>J</v>
      </c>
      <c r="K47" s="184" t="s">
        <v>458</v>
      </c>
      <c r="L47" s="23">
        <v>8253</v>
      </c>
      <c r="M47" s="23" t="s">
        <v>413</v>
      </c>
      <c r="N47" s="184" t="s">
        <v>459</v>
      </c>
      <c r="P47" s="56" t="s">
        <v>460</v>
      </c>
      <c r="Q47" s="40">
        <v>90</v>
      </c>
      <c r="R47" s="64"/>
      <c r="S47" s="189"/>
      <c r="Y47" s="184"/>
      <c r="Z47" s="39"/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183"/>
      <c r="AR47" s="41">
        <f t="shared" si="23"/>
        <v>0</v>
      </c>
      <c r="AS47" s="41">
        <f t="shared" si="24"/>
        <v>0</v>
      </c>
      <c r="AT47" s="41">
        <f t="shared" si="25"/>
        <v>0</v>
      </c>
      <c r="AU47" s="41">
        <f t="shared" si="26"/>
        <v>0</v>
      </c>
      <c r="AV47" s="41">
        <f t="shared" si="26"/>
        <v>0</v>
      </c>
      <c r="AW47" s="41">
        <f t="shared" si="27"/>
        <v>0</v>
      </c>
      <c r="AX47" s="41">
        <f t="shared" si="28"/>
        <v>0</v>
      </c>
      <c r="AY47" s="41">
        <f t="shared" si="29"/>
        <v>0</v>
      </c>
      <c r="AZ47" s="41">
        <f t="shared" si="29"/>
        <v>0</v>
      </c>
      <c r="BA47" s="41">
        <f t="shared" si="50"/>
        <v>0</v>
      </c>
      <c r="BB47" s="41">
        <f t="shared" si="51"/>
        <v>0</v>
      </c>
      <c r="BC47" s="41">
        <f t="shared" si="52"/>
        <v>0</v>
      </c>
      <c r="BD47" s="41">
        <f t="shared" si="53"/>
        <v>0</v>
      </c>
      <c r="BE47" s="41">
        <f t="shared" si="54"/>
        <v>0</v>
      </c>
      <c r="BF47" s="41">
        <f t="shared" si="55"/>
        <v>0</v>
      </c>
      <c r="BG47" s="42">
        <f t="shared" si="56"/>
        <v>0</v>
      </c>
      <c r="BH47" s="41">
        <f t="shared" ref="BH47" si="90">SUM(AR47:BE47)</f>
        <v>0</v>
      </c>
      <c r="BI47" s="41">
        <f t="shared" ref="BI47" si="91">SUM(AR47:BG47)</f>
        <v>0</v>
      </c>
      <c r="BJ47" s="43">
        <f t="shared" si="88"/>
        <v>0</v>
      </c>
      <c r="BK47" s="44">
        <f t="shared" si="18"/>
        <v>0</v>
      </c>
    </row>
    <row r="48" spans="1:63" s="23" customFormat="1" ht="12.75" customHeight="1" x14ac:dyDescent="0.2">
      <c r="A48" s="22">
        <v>44</v>
      </c>
      <c r="B48" s="23" t="s">
        <v>314</v>
      </c>
      <c r="C48" s="58" t="s">
        <v>73</v>
      </c>
      <c r="D48" s="51" t="str">
        <f t="shared" si="0"/>
        <v>Möckli Kilian</v>
      </c>
      <c r="E48" s="51" t="str">
        <f>$G48&amp;" ("&amp;D48&amp;")"</f>
        <v>004948 (Möckli Kilian)</v>
      </c>
      <c r="F48" s="51" t="e">
        <f>VLOOKUP($E48,#REF!,1,0)</f>
        <v>#REF!</v>
      </c>
      <c r="G48" s="171" t="s">
        <v>441</v>
      </c>
      <c r="H48" s="61">
        <v>39124</v>
      </c>
      <c r="I48" s="62">
        <f t="shared" si="21"/>
        <v>2007</v>
      </c>
      <c r="J48" s="63" t="str">
        <f>IF(YEAR($K$1)-I48&lt;=14,"JJ",IF(YEAR($K$1)-I48&lt;=20,"J",IF(YEAR($K$1)-I48&gt;=70,"SV",IF(YEAR($K$1)-I48&gt;=60,"V",""))))</f>
        <v>J</v>
      </c>
      <c r="K48" s="23" t="s">
        <v>442</v>
      </c>
      <c r="L48" s="23">
        <v>8252</v>
      </c>
      <c r="M48" s="23" t="s">
        <v>164</v>
      </c>
      <c r="P48" s="56"/>
      <c r="Q48" s="40">
        <v>90</v>
      </c>
      <c r="R48" s="64"/>
      <c r="S48" s="80"/>
      <c r="Z48" s="39"/>
      <c r="AA48" s="39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29"/>
      <c r="AR48" s="41">
        <f t="shared" ref="AR48:AZ48" si="92">AA48*AA$4</f>
        <v>0</v>
      </c>
      <c r="AS48" s="41">
        <f t="shared" si="92"/>
        <v>0</v>
      </c>
      <c r="AT48" s="41">
        <f t="shared" si="92"/>
        <v>0</v>
      </c>
      <c r="AU48" s="41">
        <f t="shared" si="92"/>
        <v>0</v>
      </c>
      <c r="AV48" s="41">
        <f t="shared" si="92"/>
        <v>0</v>
      </c>
      <c r="AW48" s="41">
        <f t="shared" si="92"/>
        <v>0</v>
      </c>
      <c r="AX48" s="41">
        <f t="shared" si="92"/>
        <v>0</v>
      </c>
      <c r="AY48" s="41">
        <f t="shared" si="92"/>
        <v>0</v>
      </c>
      <c r="AZ48" s="41">
        <f t="shared" si="92"/>
        <v>0</v>
      </c>
      <c r="BA48" s="41">
        <f t="shared" ref="BA48:BG48" si="93">AJ48*AJ$4</f>
        <v>0</v>
      </c>
      <c r="BB48" s="41">
        <f t="shared" si="93"/>
        <v>0</v>
      </c>
      <c r="BC48" s="41">
        <f t="shared" si="93"/>
        <v>0</v>
      </c>
      <c r="BD48" s="41">
        <f t="shared" si="93"/>
        <v>0</v>
      </c>
      <c r="BE48" s="41">
        <f t="shared" si="93"/>
        <v>0</v>
      </c>
      <c r="BF48" s="41">
        <f t="shared" si="93"/>
        <v>0</v>
      </c>
      <c r="BG48" s="42">
        <f t="shared" si="93"/>
        <v>0</v>
      </c>
      <c r="BH48" s="41">
        <f t="shared" si="31"/>
        <v>0</v>
      </c>
      <c r="BI48" s="41">
        <f t="shared" si="32"/>
        <v>0</v>
      </c>
      <c r="BJ48" s="43">
        <f t="shared" si="88"/>
        <v>0</v>
      </c>
      <c r="BK48" s="44">
        <f t="shared" si="18"/>
        <v>0</v>
      </c>
    </row>
    <row r="49" spans="1:63" s="23" customFormat="1" ht="12.75" customHeight="1" x14ac:dyDescent="0.2">
      <c r="A49" s="22">
        <v>45</v>
      </c>
      <c r="B49" s="23" t="s">
        <v>314</v>
      </c>
      <c r="C49" s="58" t="s">
        <v>331</v>
      </c>
      <c r="D49" s="51" t="str">
        <f t="shared" si="0"/>
        <v>Möckli Niklas</v>
      </c>
      <c r="E49" s="51" t="str">
        <f>$G49&amp;" ("&amp;D49&amp;")"</f>
        <v>871791 (Möckli Niklas)</v>
      </c>
      <c r="F49" s="51" t="e">
        <f>VLOOKUP($E49,#REF!,1,0)</f>
        <v>#REF!</v>
      </c>
      <c r="G49" s="179">
        <v>871791</v>
      </c>
      <c r="H49" s="61">
        <v>36675</v>
      </c>
      <c r="I49" s="62">
        <f t="shared" si="21"/>
        <v>2000</v>
      </c>
      <c r="J49" s="63" t="str">
        <f>IF(YEAR($K$1)-I49&lt;=14,"JJ",IF(YEAR($K$1)-I49&lt;=20,"J",IF(YEAR($K$1)-I49&gt;=70,"SV",IF(YEAR($K$1)-I49&gt;=60,"V",""))))</f>
        <v/>
      </c>
      <c r="K49" s="23" t="s">
        <v>332</v>
      </c>
      <c r="L49" s="23">
        <v>8254</v>
      </c>
      <c r="M49" s="23" t="s">
        <v>37</v>
      </c>
      <c r="N49" s="23" t="s">
        <v>346</v>
      </c>
      <c r="P49" s="56" t="s">
        <v>347</v>
      </c>
      <c r="Q49" s="40">
        <v>90</v>
      </c>
      <c r="R49" s="64"/>
      <c r="S49" s="80"/>
      <c r="Z49" s="39"/>
      <c r="AA49" s="39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29"/>
      <c r="AR49" s="41">
        <f t="shared" si="23"/>
        <v>0</v>
      </c>
      <c r="AS49" s="41">
        <f t="shared" si="24"/>
        <v>0</v>
      </c>
      <c r="AT49" s="41">
        <f t="shared" si="25"/>
        <v>0</v>
      </c>
      <c r="AU49" s="41">
        <f t="shared" si="26"/>
        <v>0</v>
      </c>
      <c r="AV49" s="41">
        <f t="shared" si="26"/>
        <v>0</v>
      </c>
      <c r="AW49" s="41">
        <f t="shared" si="27"/>
        <v>0</v>
      </c>
      <c r="AX49" s="41">
        <f t="shared" si="28"/>
        <v>0</v>
      </c>
      <c r="AY49" s="41">
        <f t="shared" si="29"/>
        <v>0</v>
      </c>
      <c r="AZ49" s="41">
        <f t="shared" si="29"/>
        <v>0</v>
      </c>
      <c r="BA49" s="41">
        <f t="shared" si="50"/>
        <v>0</v>
      </c>
      <c r="BB49" s="41">
        <f t="shared" si="51"/>
        <v>0</v>
      </c>
      <c r="BC49" s="41">
        <f t="shared" si="52"/>
        <v>0</v>
      </c>
      <c r="BD49" s="41">
        <f t="shared" si="53"/>
        <v>0</v>
      </c>
      <c r="BE49" s="41">
        <f t="shared" si="54"/>
        <v>0</v>
      </c>
      <c r="BF49" s="41">
        <f t="shared" si="55"/>
        <v>0</v>
      </c>
      <c r="BG49" s="42">
        <f t="shared" si="56"/>
        <v>0</v>
      </c>
      <c r="BH49" s="41">
        <f t="shared" si="31"/>
        <v>0</v>
      </c>
      <c r="BI49" s="41">
        <f t="shared" si="32"/>
        <v>0</v>
      </c>
      <c r="BJ49" s="43">
        <f t="shared" si="88"/>
        <v>0</v>
      </c>
      <c r="BK49" s="44">
        <f t="shared" si="18"/>
        <v>0</v>
      </c>
    </row>
    <row r="50" spans="1:63" s="23" customFormat="1" ht="12.75" customHeight="1" x14ac:dyDescent="0.25">
      <c r="A50" s="22">
        <v>46</v>
      </c>
      <c r="B50" s="23" t="s">
        <v>314</v>
      </c>
      <c r="C50" s="58" t="s">
        <v>343</v>
      </c>
      <c r="D50" s="51" t="str">
        <f t="shared" si="0"/>
        <v>Möckli Tobias</v>
      </c>
      <c r="E50" s="51" t="str">
        <f t="shared" si="20"/>
        <v>888176 (Möckli Tobias)</v>
      </c>
      <c r="F50" s="51" t="e">
        <f>VLOOKUP($E50,#REF!,1,0)</f>
        <v>#REF!</v>
      </c>
      <c r="G50" s="179">
        <v>888176</v>
      </c>
      <c r="H50" s="158">
        <v>37784</v>
      </c>
      <c r="I50" s="62">
        <f t="shared" si="21"/>
        <v>2003</v>
      </c>
      <c r="J50" s="63" t="str">
        <f t="shared" si="49"/>
        <v/>
      </c>
      <c r="K50" s="23" t="s">
        <v>344</v>
      </c>
      <c r="L50" s="23">
        <v>8254</v>
      </c>
      <c r="M50" s="23" t="s">
        <v>37</v>
      </c>
      <c r="N50" s="23" t="s">
        <v>354</v>
      </c>
      <c r="P50" s="56" t="s">
        <v>355</v>
      </c>
      <c r="Q50" s="40">
        <v>90</v>
      </c>
      <c r="R50" s="64"/>
      <c r="S50" s="80"/>
      <c r="Y50" s="134"/>
      <c r="Z50" s="39"/>
      <c r="AA50" s="39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29"/>
      <c r="AR50" s="41">
        <f t="shared" ref="AR50:AZ52" si="94">AA50*AA$4</f>
        <v>0</v>
      </c>
      <c r="AS50" s="41">
        <f t="shared" si="94"/>
        <v>0</v>
      </c>
      <c r="AT50" s="41">
        <f t="shared" si="94"/>
        <v>0</v>
      </c>
      <c r="AU50" s="41">
        <f t="shared" si="94"/>
        <v>0</v>
      </c>
      <c r="AV50" s="41">
        <f t="shared" si="94"/>
        <v>0</v>
      </c>
      <c r="AW50" s="41">
        <f t="shared" si="94"/>
        <v>0</v>
      </c>
      <c r="AX50" s="41">
        <f t="shared" si="94"/>
        <v>0</v>
      </c>
      <c r="AY50" s="41">
        <f t="shared" si="94"/>
        <v>0</v>
      </c>
      <c r="AZ50" s="41">
        <f t="shared" si="94"/>
        <v>0</v>
      </c>
      <c r="BA50" s="41">
        <f t="shared" ref="BA50:BG51" si="95">AJ50*AJ$4</f>
        <v>0</v>
      </c>
      <c r="BB50" s="41">
        <f t="shared" si="95"/>
        <v>0</v>
      </c>
      <c r="BC50" s="41">
        <f t="shared" si="95"/>
        <v>0</v>
      </c>
      <c r="BD50" s="41">
        <f t="shared" si="95"/>
        <v>0</v>
      </c>
      <c r="BE50" s="41">
        <f t="shared" si="95"/>
        <v>0</v>
      </c>
      <c r="BF50" s="41">
        <f t="shared" si="95"/>
        <v>0</v>
      </c>
      <c r="BG50" s="42">
        <f t="shared" si="95"/>
        <v>0</v>
      </c>
      <c r="BH50" s="41">
        <f t="shared" si="31"/>
        <v>0</v>
      </c>
      <c r="BI50" s="41">
        <f t="shared" si="32"/>
        <v>0</v>
      </c>
      <c r="BJ50" s="43">
        <f t="shared" si="88"/>
        <v>0</v>
      </c>
      <c r="BK50" s="44">
        <f t="shared" si="18"/>
        <v>0</v>
      </c>
    </row>
    <row r="51" spans="1:63" ht="12.75" customHeight="1" x14ac:dyDescent="0.2">
      <c r="A51" s="22">
        <v>47</v>
      </c>
      <c r="B51" s="23" t="s">
        <v>408</v>
      </c>
      <c r="C51" s="58" t="s">
        <v>407</v>
      </c>
      <c r="D51" s="51" t="str">
        <f t="shared" si="0"/>
        <v>Oeler Janis</v>
      </c>
      <c r="E51" s="51" t="str">
        <f>$G51&amp;" ("&amp;D51&amp;")"</f>
        <v>978689 (Oeler Janis)</v>
      </c>
      <c r="F51" s="51" t="e">
        <f>VLOOKUP($E51,#REF!,1,0)</f>
        <v>#REF!</v>
      </c>
      <c r="G51" s="179">
        <v>978689</v>
      </c>
      <c r="H51" s="61">
        <v>39024</v>
      </c>
      <c r="I51" s="62">
        <f>YEAR(H51)</f>
        <v>2006</v>
      </c>
      <c r="J51" s="63" t="str">
        <f>IF(YEAR($K$1)-I51&lt;=14,"JJ",IF(YEAR($K$1)-I51&lt;=20,"J",IF(YEAR($K$1)-I51&gt;=70,"SV",IF(YEAR($K$1)-I51&gt;=60,"V",""))))</f>
        <v>J</v>
      </c>
      <c r="K51" s="23" t="s">
        <v>409</v>
      </c>
      <c r="L51" s="23">
        <v>8254</v>
      </c>
      <c r="M51" s="23" t="s">
        <v>37</v>
      </c>
      <c r="N51" s="23"/>
      <c r="O51" s="23"/>
      <c r="P51" s="56"/>
      <c r="Q51" s="40">
        <v>90</v>
      </c>
      <c r="R51" s="64"/>
      <c r="S51" s="80"/>
      <c r="T51" s="23"/>
      <c r="U51" s="23"/>
      <c r="V51" s="23"/>
      <c r="W51" s="23"/>
      <c r="X51" s="23"/>
      <c r="Y51" s="23"/>
      <c r="Z51" s="16"/>
      <c r="AA51" s="39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29"/>
      <c r="AR51" s="24">
        <f t="shared" ref="AR51:AZ56" si="96">AA51*AA$4</f>
        <v>0</v>
      </c>
      <c r="AS51" s="24">
        <f t="shared" si="96"/>
        <v>0</v>
      </c>
      <c r="AT51" s="24">
        <f t="shared" si="96"/>
        <v>0</v>
      </c>
      <c r="AU51" s="24">
        <f t="shared" si="96"/>
        <v>0</v>
      </c>
      <c r="AV51" s="24">
        <f t="shared" si="96"/>
        <v>0</v>
      </c>
      <c r="AW51" s="24">
        <f t="shared" si="96"/>
        <v>0</v>
      </c>
      <c r="AX51" s="24">
        <f t="shared" si="96"/>
        <v>0</v>
      </c>
      <c r="AY51" s="24">
        <f t="shared" si="96"/>
        <v>0</v>
      </c>
      <c r="AZ51" s="24">
        <f t="shared" si="96"/>
        <v>0</v>
      </c>
      <c r="BA51" s="24">
        <f t="shared" si="95"/>
        <v>0</v>
      </c>
      <c r="BB51" s="24">
        <f t="shared" si="95"/>
        <v>0</v>
      </c>
      <c r="BC51" s="24">
        <f t="shared" si="95"/>
        <v>0</v>
      </c>
      <c r="BD51" s="24">
        <f t="shared" si="95"/>
        <v>0</v>
      </c>
      <c r="BE51" s="24">
        <f t="shared" si="95"/>
        <v>0</v>
      </c>
      <c r="BF51" s="24">
        <f t="shared" si="95"/>
        <v>0</v>
      </c>
      <c r="BG51" s="46">
        <f t="shared" si="95"/>
        <v>0</v>
      </c>
      <c r="BH51" s="24">
        <f>SUM(AR51:BE51)</f>
        <v>0</v>
      </c>
      <c r="BI51" s="24">
        <f>SUM(AR51:BG51)</f>
        <v>0</v>
      </c>
      <c r="BJ51" s="43">
        <f t="shared" si="88"/>
        <v>0</v>
      </c>
      <c r="BK51" s="44">
        <f t="shared" si="18"/>
        <v>0</v>
      </c>
    </row>
    <row r="52" spans="1:63" ht="12.75" customHeight="1" x14ac:dyDescent="0.2">
      <c r="A52" s="22">
        <v>48</v>
      </c>
      <c r="B52" s="23" t="s">
        <v>72</v>
      </c>
      <c r="C52" s="58" t="s">
        <v>290</v>
      </c>
      <c r="D52" s="51" t="str">
        <f t="shared" si="0"/>
        <v>Ott Joachim</v>
      </c>
      <c r="E52" s="51" t="str">
        <f>$G52&amp;" ("&amp;D52&amp;")"</f>
        <v>782994 (Ott Joachim)</v>
      </c>
      <c r="F52" s="51" t="e">
        <f>VLOOKUP($E52,#REF!,1,0)</f>
        <v>#REF!</v>
      </c>
      <c r="G52" s="179">
        <v>782994</v>
      </c>
      <c r="H52" s="61">
        <v>25444</v>
      </c>
      <c r="I52" s="62">
        <f t="shared" si="21"/>
        <v>1969</v>
      </c>
      <c r="J52" s="63" t="str">
        <f t="shared" si="49"/>
        <v/>
      </c>
      <c r="K52" s="23" t="s">
        <v>178</v>
      </c>
      <c r="L52" s="23">
        <v>8254</v>
      </c>
      <c r="M52" s="23" t="s">
        <v>37</v>
      </c>
      <c r="N52" s="23" t="s">
        <v>422</v>
      </c>
      <c r="O52" s="23" t="s">
        <v>292</v>
      </c>
      <c r="P52" s="56" t="s">
        <v>291</v>
      </c>
      <c r="Q52" s="40" t="s">
        <v>20</v>
      </c>
      <c r="R52" s="64"/>
      <c r="S52" s="80"/>
      <c r="T52" s="23"/>
      <c r="U52" s="23"/>
      <c r="V52" s="23"/>
      <c r="W52" s="23"/>
      <c r="X52" s="23"/>
      <c r="Y52" s="23"/>
      <c r="Z52" s="16"/>
      <c r="AA52" s="39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29"/>
      <c r="AR52" s="24">
        <f t="shared" si="94"/>
        <v>0</v>
      </c>
      <c r="AS52" s="24">
        <f t="shared" si="94"/>
        <v>0</v>
      </c>
      <c r="AT52" s="24">
        <f t="shared" si="94"/>
        <v>0</v>
      </c>
      <c r="AU52" s="24">
        <f t="shared" si="96"/>
        <v>0</v>
      </c>
      <c r="AV52" s="24">
        <f t="shared" si="94"/>
        <v>0</v>
      </c>
      <c r="AW52" s="24">
        <f t="shared" si="94"/>
        <v>0</v>
      </c>
      <c r="AX52" s="24">
        <f t="shared" si="94"/>
        <v>0</v>
      </c>
      <c r="AY52" s="24">
        <f t="shared" si="94"/>
        <v>0</v>
      </c>
      <c r="AZ52" s="24">
        <f t="shared" si="94"/>
        <v>0</v>
      </c>
      <c r="BA52" s="24">
        <f t="shared" ref="BA52:BG52" si="97">AJ52*AJ$4</f>
        <v>0</v>
      </c>
      <c r="BB52" s="24">
        <f t="shared" si="97"/>
        <v>0</v>
      </c>
      <c r="BC52" s="24">
        <f t="shared" si="97"/>
        <v>0</v>
      </c>
      <c r="BD52" s="24">
        <f t="shared" si="97"/>
        <v>0</v>
      </c>
      <c r="BE52" s="24">
        <f t="shared" si="97"/>
        <v>0</v>
      </c>
      <c r="BF52" s="24">
        <f t="shared" si="97"/>
        <v>0</v>
      </c>
      <c r="BG52" s="46">
        <f t="shared" si="97"/>
        <v>0</v>
      </c>
      <c r="BH52" s="24">
        <f t="shared" si="31"/>
        <v>0</v>
      </c>
      <c r="BI52" s="24">
        <f t="shared" si="32"/>
        <v>0</v>
      </c>
      <c r="BJ52" s="43">
        <f t="shared" si="88"/>
        <v>0</v>
      </c>
      <c r="BK52" s="44">
        <f t="shared" si="18"/>
        <v>0</v>
      </c>
    </row>
    <row r="53" spans="1:63" ht="12.75" customHeight="1" x14ac:dyDescent="0.2">
      <c r="A53" s="22">
        <v>49</v>
      </c>
      <c r="B53" s="23" t="s">
        <v>72</v>
      </c>
      <c r="C53" s="58" t="s">
        <v>177</v>
      </c>
      <c r="D53" s="51" t="str">
        <f t="shared" si="0"/>
        <v>Ott Joel</v>
      </c>
      <c r="E53" s="51" t="str">
        <f t="shared" si="20"/>
        <v>692215 (Ott Joel)</v>
      </c>
      <c r="F53" s="51" t="e">
        <f>VLOOKUP($E53,#REF!,1,0)</f>
        <v>#REF!</v>
      </c>
      <c r="G53" s="179">
        <v>692215</v>
      </c>
      <c r="H53" s="61">
        <v>35609</v>
      </c>
      <c r="I53" s="62">
        <f t="shared" si="21"/>
        <v>1997</v>
      </c>
      <c r="J53" s="63" t="str">
        <f t="shared" si="49"/>
        <v/>
      </c>
      <c r="K53" s="23" t="s">
        <v>404</v>
      </c>
      <c r="L53" s="23">
        <v>8253</v>
      </c>
      <c r="M53" s="23" t="s">
        <v>33</v>
      </c>
      <c r="N53" s="23" t="s">
        <v>273</v>
      </c>
      <c r="O53" s="23"/>
      <c r="P53" s="56" t="s">
        <v>179</v>
      </c>
      <c r="Q53" s="40" t="s">
        <v>134</v>
      </c>
      <c r="R53" s="64"/>
      <c r="S53" s="189"/>
      <c r="T53" s="23"/>
      <c r="U53" s="23"/>
      <c r="V53" s="23"/>
      <c r="W53" s="23"/>
      <c r="X53" s="23"/>
      <c r="Y53" s="184"/>
      <c r="Z53" s="16"/>
      <c r="AA53" s="39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29"/>
      <c r="AR53" s="24">
        <f t="shared" si="23"/>
        <v>0</v>
      </c>
      <c r="AS53" s="24">
        <f t="shared" si="24"/>
        <v>0</v>
      </c>
      <c r="AT53" s="24">
        <f t="shared" si="25"/>
        <v>0</v>
      </c>
      <c r="AU53" s="24">
        <f t="shared" si="96"/>
        <v>0</v>
      </c>
      <c r="AV53" s="24">
        <f t="shared" si="26"/>
        <v>0</v>
      </c>
      <c r="AW53" s="24">
        <f t="shared" si="27"/>
        <v>0</v>
      </c>
      <c r="AX53" s="24">
        <f t="shared" si="28"/>
        <v>0</v>
      </c>
      <c r="AY53" s="24">
        <f t="shared" si="29"/>
        <v>0</v>
      </c>
      <c r="AZ53" s="24">
        <f t="shared" si="29"/>
        <v>0</v>
      </c>
      <c r="BA53" s="24">
        <f t="shared" si="50"/>
        <v>0</v>
      </c>
      <c r="BB53" s="24">
        <f t="shared" si="51"/>
        <v>0</v>
      </c>
      <c r="BC53" s="24">
        <f t="shared" si="52"/>
        <v>0</v>
      </c>
      <c r="BD53" s="24">
        <f t="shared" si="53"/>
        <v>0</v>
      </c>
      <c r="BE53" s="24">
        <f t="shared" si="54"/>
        <v>0</v>
      </c>
      <c r="BF53" s="24">
        <f t="shared" si="55"/>
        <v>0</v>
      </c>
      <c r="BG53" s="46">
        <f t="shared" si="56"/>
        <v>0</v>
      </c>
      <c r="BH53" s="24">
        <f t="shared" si="31"/>
        <v>0</v>
      </c>
      <c r="BI53" s="24">
        <f t="shared" si="32"/>
        <v>0</v>
      </c>
      <c r="BJ53" s="43">
        <f t="shared" si="88"/>
        <v>0</v>
      </c>
      <c r="BK53" s="44">
        <f t="shared" si="18"/>
        <v>0</v>
      </c>
    </row>
    <row r="54" spans="1:63" ht="12.75" customHeight="1" x14ac:dyDescent="0.2">
      <c r="A54" s="22">
        <v>50</v>
      </c>
      <c r="B54" s="23" t="s">
        <v>72</v>
      </c>
      <c r="C54" s="58" t="s">
        <v>73</v>
      </c>
      <c r="D54" s="51" t="str">
        <f t="shared" si="0"/>
        <v>Ott Kilian</v>
      </c>
      <c r="E54" s="51" t="str">
        <f t="shared" si="20"/>
        <v>160604 (Ott Kilian)</v>
      </c>
      <c r="F54" s="51" t="e">
        <f>VLOOKUP($E54,#REF!,1,0)</f>
        <v>#REF!</v>
      </c>
      <c r="G54" s="179">
        <v>160604</v>
      </c>
      <c r="H54" s="61">
        <v>26401</v>
      </c>
      <c r="I54" s="62">
        <f t="shared" si="21"/>
        <v>1972</v>
      </c>
      <c r="J54" s="63" t="str">
        <f t="shared" si="49"/>
        <v/>
      </c>
      <c r="K54" s="23" t="s">
        <v>74</v>
      </c>
      <c r="L54" s="23">
        <v>8254</v>
      </c>
      <c r="M54" s="23" t="s">
        <v>37</v>
      </c>
      <c r="N54" s="23" t="s">
        <v>75</v>
      </c>
      <c r="O54" s="23"/>
      <c r="P54" s="56" t="s">
        <v>171</v>
      </c>
      <c r="Q54" s="40">
        <v>90</v>
      </c>
      <c r="R54" s="64">
        <v>2</v>
      </c>
      <c r="S54" s="80"/>
      <c r="T54" s="23"/>
      <c r="U54" s="23"/>
      <c r="V54" s="23"/>
      <c r="W54" s="23"/>
      <c r="X54" s="23"/>
      <c r="Y54" s="23"/>
      <c r="Z54" s="16"/>
      <c r="AA54" s="39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29"/>
      <c r="AR54" s="24">
        <f t="shared" si="23"/>
        <v>0</v>
      </c>
      <c r="AS54" s="24">
        <f t="shared" si="24"/>
        <v>0</v>
      </c>
      <c r="AT54" s="24">
        <f t="shared" si="25"/>
        <v>0</v>
      </c>
      <c r="AU54" s="24">
        <f t="shared" si="96"/>
        <v>0</v>
      </c>
      <c r="AV54" s="24">
        <f t="shared" si="26"/>
        <v>0</v>
      </c>
      <c r="AW54" s="24">
        <f t="shared" si="27"/>
        <v>0</v>
      </c>
      <c r="AX54" s="24">
        <f t="shared" si="28"/>
        <v>0</v>
      </c>
      <c r="AY54" s="24">
        <f t="shared" si="29"/>
        <v>0</v>
      </c>
      <c r="AZ54" s="24">
        <f t="shared" si="29"/>
        <v>0</v>
      </c>
      <c r="BA54" s="24">
        <f t="shared" si="50"/>
        <v>0</v>
      </c>
      <c r="BB54" s="24">
        <f t="shared" si="51"/>
        <v>0</v>
      </c>
      <c r="BC54" s="24">
        <f t="shared" si="52"/>
        <v>0</v>
      </c>
      <c r="BD54" s="24">
        <f t="shared" si="53"/>
        <v>0</v>
      </c>
      <c r="BE54" s="24">
        <f t="shared" si="54"/>
        <v>0</v>
      </c>
      <c r="BF54" s="24">
        <f t="shared" si="55"/>
        <v>0</v>
      </c>
      <c r="BG54" s="46">
        <f t="shared" si="56"/>
        <v>0</v>
      </c>
      <c r="BH54" s="24">
        <f t="shared" si="31"/>
        <v>0</v>
      </c>
      <c r="BI54" s="24">
        <f t="shared" si="32"/>
        <v>0</v>
      </c>
      <c r="BJ54" s="43">
        <f t="shared" si="88"/>
        <v>0</v>
      </c>
      <c r="BK54" s="44">
        <f t="shared" si="18"/>
        <v>0</v>
      </c>
    </row>
    <row r="55" spans="1:63" ht="12.75" customHeight="1" x14ac:dyDescent="0.2">
      <c r="A55" s="22">
        <v>51</v>
      </c>
      <c r="B55" s="23" t="s">
        <v>370</v>
      </c>
      <c r="C55" s="58" t="s">
        <v>406</v>
      </c>
      <c r="D55" s="51" t="str">
        <f t="shared" si="0"/>
        <v>Pereira José Carlos</v>
      </c>
      <c r="E55" s="51" t="str">
        <f>$G55&amp;" ("&amp;D55&amp;")"</f>
        <v>910445 (Pereira José Carlos)</v>
      </c>
      <c r="F55" s="51" t="e">
        <f>VLOOKUP($E55,#REF!,1,0)</f>
        <v>#REF!</v>
      </c>
      <c r="G55" s="179">
        <v>910445</v>
      </c>
      <c r="H55" s="53">
        <v>37925</v>
      </c>
      <c r="I55" s="54">
        <f t="shared" si="21"/>
        <v>2003</v>
      </c>
      <c r="J55" s="55" t="str">
        <f>IF(YEAR($K$1)-I55&lt;=14,"JJ",IF(YEAR($K$1)-I55&lt;=20,"J",IF(YEAR($K$1)-I55&gt;=70,"SV",IF(YEAR($K$1)-I55&gt;=60,"V",""))))</f>
        <v/>
      </c>
      <c r="K55" s="23" t="s">
        <v>356</v>
      </c>
      <c r="L55" s="22">
        <v>8253</v>
      </c>
      <c r="M55" s="23" t="s">
        <v>33</v>
      </c>
      <c r="N55" s="23" t="s">
        <v>357</v>
      </c>
      <c r="O55" s="22"/>
      <c r="P55" s="56" t="s">
        <v>371</v>
      </c>
      <c r="Q55" s="15">
        <v>90</v>
      </c>
      <c r="R55" s="57"/>
      <c r="S55" s="80"/>
      <c r="T55" s="23"/>
      <c r="U55" s="23"/>
      <c r="V55" s="23"/>
      <c r="W55" s="23"/>
      <c r="X55" s="23"/>
      <c r="Y55" s="23"/>
      <c r="Z55" s="16"/>
      <c r="AA55" s="3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29"/>
      <c r="AR55" s="24">
        <f t="shared" ref="AR55:AZ56" si="98">AA55*AA$4</f>
        <v>0</v>
      </c>
      <c r="AS55" s="24">
        <f t="shared" si="98"/>
        <v>0</v>
      </c>
      <c r="AT55" s="24">
        <f t="shared" si="98"/>
        <v>0</v>
      </c>
      <c r="AU55" s="24">
        <f t="shared" si="96"/>
        <v>0</v>
      </c>
      <c r="AV55" s="24">
        <f t="shared" si="98"/>
        <v>0</v>
      </c>
      <c r="AW55" s="24">
        <f t="shared" si="98"/>
        <v>0</v>
      </c>
      <c r="AX55" s="24">
        <f t="shared" si="98"/>
        <v>0</v>
      </c>
      <c r="AY55" s="24">
        <f t="shared" si="98"/>
        <v>0</v>
      </c>
      <c r="AZ55" s="24">
        <f t="shared" si="98"/>
        <v>0</v>
      </c>
      <c r="BA55" s="24">
        <f t="shared" si="50"/>
        <v>0</v>
      </c>
      <c r="BB55" s="24">
        <f t="shared" si="51"/>
        <v>0</v>
      </c>
      <c r="BC55" s="24">
        <f t="shared" si="52"/>
        <v>0</v>
      </c>
      <c r="BD55" s="24">
        <f t="shared" si="53"/>
        <v>0</v>
      </c>
      <c r="BE55" s="24">
        <f t="shared" si="54"/>
        <v>0</v>
      </c>
      <c r="BF55" s="24">
        <f t="shared" si="55"/>
        <v>0</v>
      </c>
      <c r="BG55" s="46">
        <f t="shared" si="56"/>
        <v>0</v>
      </c>
      <c r="BH55" s="24">
        <f t="shared" si="31"/>
        <v>0</v>
      </c>
      <c r="BI55" s="24">
        <f t="shared" si="32"/>
        <v>0</v>
      </c>
      <c r="BJ55" s="43">
        <f t="shared" si="88"/>
        <v>0</v>
      </c>
      <c r="BK55" s="44">
        <f t="shared" si="18"/>
        <v>0</v>
      </c>
    </row>
    <row r="56" spans="1:63" ht="12.75" customHeight="1" x14ac:dyDescent="0.2">
      <c r="A56" s="22">
        <v>52</v>
      </c>
      <c r="B56" s="23" t="s">
        <v>312</v>
      </c>
      <c r="C56" s="58" t="s">
        <v>40</v>
      </c>
      <c r="D56" s="51" t="str">
        <f t="shared" si="0"/>
        <v>Pfund Andreas</v>
      </c>
      <c r="E56" s="51" t="str">
        <f>$G56&amp;" ("&amp;D56&amp;")"</f>
        <v>830971 (Pfund Andreas)</v>
      </c>
      <c r="F56" s="51" t="e">
        <f>VLOOKUP($E56,#REF!,1,0)</f>
        <v>#REF!</v>
      </c>
      <c r="G56" s="177">
        <v>830971</v>
      </c>
      <c r="H56" s="53">
        <v>28354</v>
      </c>
      <c r="I56" s="54">
        <f t="shared" si="21"/>
        <v>1977</v>
      </c>
      <c r="J56" s="55" t="str">
        <f>IF(YEAR($K$1)-I56&lt;=14,"JJ",IF(YEAR($K$1)-I56&lt;=20,"J",IF(YEAR($K$1)-I56&gt;=70,"SV",IF(YEAR($K$1)-I56&gt;=60,"V",""))))</f>
        <v/>
      </c>
      <c r="K56" s="23" t="s">
        <v>313</v>
      </c>
      <c r="L56" s="22">
        <v>8254</v>
      </c>
      <c r="M56" s="23" t="s">
        <v>37</v>
      </c>
      <c r="N56" s="22" t="s">
        <v>326</v>
      </c>
      <c r="O56" s="60" t="s">
        <v>338</v>
      </c>
      <c r="P56" s="56" t="s">
        <v>339</v>
      </c>
      <c r="Q56" s="15">
        <v>90</v>
      </c>
      <c r="R56" s="57">
        <v>3</v>
      </c>
      <c r="S56" s="189" t="s">
        <v>365</v>
      </c>
      <c r="T56" s="64"/>
      <c r="U56" s="64"/>
      <c r="V56" s="23"/>
      <c r="W56" s="23">
        <v>1</v>
      </c>
      <c r="X56" s="23">
        <v>1</v>
      </c>
      <c r="Y56" s="184" t="s">
        <v>485</v>
      </c>
      <c r="Z56" s="16"/>
      <c r="AA56" s="39">
        <v>2</v>
      </c>
      <c r="AB56" s="40">
        <v>1</v>
      </c>
      <c r="AC56" s="40"/>
      <c r="AD56" s="40"/>
      <c r="AE56" s="40"/>
      <c r="AF56" s="40">
        <v>1</v>
      </c>
      <c r="AG56" s="40">
        <v>1</v>
      </c>
      <c r="AH56" s="40">
        <v>1</v>
      </c>
      <c r="AI56" s="40">
        <v>1</v>
      </c>
      <c r="AJ56" s="40"/>
      <c r="AK56" s="40">
        <v>1</v>
      </c>
      <c r="AL56" s="40"/>
      <c r="AM56" s="40"/>
      <c r="AN56" s="40"/>
      <c r="AO56" s="40"/>
      <c r="AP56" s="40"/>
      <c r="AQ56" s="183" t="s">
        <v>28</v>
      </c>
      <c r="AR56" s="24">
        <f t="shared" si="98"/>
        <v>10</v>
      </c>
      <c r="AS56" s="24">
        <f t="shared" si="98"/>
        <v>10</v>
      </c>
      <c r="AT56" s="24">
        <f t="shared" si="98"/>
        <v>0</v>
      </c>
      <c r="AU56" s="24">
        <f t="shared" si="96"/>
        <v>0</v>
      </c>
      <c r="AV56" s="24">
        <f t="shared" si="98"/>
        <v>0</v>
      </c>
      <c r="AW56" s="24">
        <f t="shared" si="98"/>
        <v>6</v>
      </c>
      <c r="AX56" s="24">
        <f t="shared" si="98"/>
        <v>6</v>
      </c>
      <c r="AY56" s="24">
        <f t="shared" si="98"/>
        <v>6</v>
      </c>
      <c r="AZ56" s="24">
        <f t="shared" si="98"/>
        <v>6</v>
      </c>
      <c r="BA56" s="24">
        <f t="shared" ref="BA56:BG56" si="99">AJ56*AJ$4</f>
        <v>0</v>
      </c>
      <c r="BB56" s="24">
        <f t="shared" si="99"/>
        <v>3</v>
      </c>
      <c r="BC56" s="24">
        <f t="shared" si="99"/>
        <v>0</v>
      </c>
      <c r="BD56" s="24">
        <f t="shared" si="99"/>
        <v>0</v>
      </c>
      <c r="BE56" s="24">
        <f t="shared" si="99"/>
        <v>0</v>
      </c>
      <c r="BF56" s="24">
        <f t="shared" si="99"/>
        <v>0</v>
      </c>
      <c r="BG56" s="46">
        <f t="shared" si="99"/>
        <v>0</v>
      </c>
      <c r="BH56" s="24">
        <f t="shared" si="31"/>
        <v>47</v>
      </c>
      <c r="BI56" s="24">
        <f t="shared" si="32"/>
        <v>47</v>
      </c>
      <c r="BJ56" s="43">
        <f t="shared" si="88"/>
        <v>3</v>
      </c>
      <c r="BK56" s="44">
        <f t="shared" si="18"/>
        <v>0</v>
      </c>
    </row>
    <row r="57" spans="1:63" ht="12.75" customHeight="1" x14ac:dyDescent="0.2">
      <c r="A57" s="22">
        <v>53</v>
      </c>
      <c r="B57" s="22" t="s">
        <v>39</v>
      </c>
      <c r="C57" s="51" t="s">
        <v>40</v>
      </c>
      <c r="D57" s="51" t="str">
        <f t="shared" si="0"/>
        <v>Röder Andreas</v>
      </c>
      <c r="E57" s="51" t="str">
        <f t="shared" si="20"/>
        <v>160605 (Röder Andreas)</v>
      </c>
      <c r="F57" s="51" t="e">
        <f>VLOOKUP($E57,#REF!,1,0)</f>
        <v>#REF!</v>
      </c>
      <c r="G57" s="177">
        <v>160605</v>
      </c>
      <c r="H57" s="53">
        <v>17642</v>
      </c>
      <c r="I57" s="54">
        <f t="shared" si="21"/>
        <v>1948</v>
      </c>
      <c r="J57" s="59" t="str">
        <f t="shared" si="49"/>
        <v>SV</v>
      </c>
      <c r="K57" s="22" t="s">
        <v>41</v>
      </c>
      <c r="L57" s="22">
        <v>8254</v>
      </c>
      <c r="M57" s="22" t="s">
        <v>37</v>
      </c>
      <c r="N57" s="22" t="s">
        <v>42</v>
      </c>
      <c r="O57" s="22" t="s">
        <v>43</v>
      </c>
      <c r="P57" s="56" t="s">
        <v>138</v>
      </c>
      <c r="Q57" s="15">
        <v>90</v>
      </c>
      <c r="R57" s="57">
        <v>3</v>
      </c>
      <c r="S57" s="189" t="s">
        <v>365</v>
      </c>
      <c r="T57" s="64"/>
      <c r="U57" s="64"/>
      <c r="V57" s="23"/>
      <c r="W57" s="23">
        <v>1</v>
      </c>
      <c r="X57" s="23">
        <v>1</v>
      </c>
      <c r="Y57" s="184"/>
      <c r="Z57" s="16"/>
      <c r="AA57" s="39">
        <v>2</v>
      </c>
      <c r="AB57" s="40">
        <v>1</v>
      </c>
      <c r="AC57" s="40">
        <v>1</v>
      </c>
      <c r="AD57" s="40"/>
      <c r="AE57" s="40"/>
      <c r="AF57" s="40">
        <v>1</v>
      </c>
      <c r="AG57" s="40">
        <v>1</v>
      </c>
      <c r="AH57" s="40">
        <v>1</v>
      </c>
      <c r="AI57" s="40"/>
      <c r="AJ57" s="40"/>
      <c r="AK57" s="40"/>
      <c r="AL57" s="40">
        <v>1</v>
      </c>
      <c r="AM57" s="40"/>
      <c r="AN57" s="40">
        <v>5</v>
      </c>
      <c r="AO57" s="40"/>
      <c r="AP57" s="40"/>
      <c r="AQ57" s="190" t="s">
        <v>27</v>
      </c>
      <c r="AR57" s="24">
        <f t="shared" si="23"/>
        <v>10</v>
      </c>
      <c r="AS57" s="24">
        <f t="shared" si="24"/>
        <v>10</v>
      </c>
      <c r="AT57" s="24">
        <f t="shared" si="25"/>
        <v>5</v>
      </c>
      <c r="AU57" s="24">
        <f t="shared" si="26"/>
        <v>0</v>
      </c>
      <c r="AV57" s="24">
        <f t="shared" si="26"/>
        <v>0</v>
      </c>
      <c r="AW57" s="24">
        <f t="shared" si="27"/>
        <v>6</v>
      </c>
      <c r="AX57" s="24">
        <f t="shared" si="28"/>
        <v>6</v>
      </c>
      <c r="AY57" s="24">
        <f t="shared" si="29"/>
        <v>6</v>
      </c>
      <c r="AZ57" s="24">
        <f t="shared" si="29"/>
        <v>0</v>
      </c>
      <c r="BA57" s="24">
        <f t="shared" si="50"/>
        <v>0</v>
      </c>
      <c r="BB57" s="24">
        <f t="shared" si="51"/>
        <v>0</v>
      </c>
      <c r="BC57" s="24">
        <f t="shared" si="52"/>
        <v>5</v>
      </c>
      <c r="BD57" s="24">
        <f t="shared" si="53"/>
        <v>0</v>
      </c>
      <c r="BE57" s="24">
        <f t="shared" si="54"/>
        <v>10</v>
      </c>
      <c r="BF57" s="24">
        <f t="shared" si="55"/>
        <v>0</v>
      </c>
      <c r="BG57" s="46">
        <f t="shared" si="56"/>
        <v>0</v>
      </c>
      <c r="BH57" s="24">
        <f t="shared" si="31"/>
        <v>58</v>
      </c>
      <c r="BI57" s="24">
        <f t="shared" si="32"/>
        <v>58</v>
      </c>
      <c r="BJ57" s="43">
        <f t="shared" si="88"/>
        <v>3</v>
      </c>
      <c r="BK57" s="44">
        <f t="shared" si="18"/>
        <v>0</v>
      </c>
    </row>
    <row r="58" spans="1:63" ht="12.75" customHeight="1" x14ac:dyDescent="0.2">
      <c r="A58" s="22">
        <v>54</v>
      </c>
      <c r="B58" s="22" t="s">
        <v>79</v>
      </c>
      <c r="C58" s="51" t="s">
        <v>80</v>
      </c>
      <c r="D58" s="51" t="str">
        <f t="shared" si="0"/>
        <v>Rütimann Jürg</v>
      </c>
      <c r="E58" s="51" t="str">
        <f t="shared" si="20"/>
        <v>160607 (Rütimann Jürg)</v>
      </c>
      <c r="F58" s="51" t="e">
        <f>VLOOKUP($E58,#REF!,1,0)</f>
        <v>#REF!</v>
      </c>
      <c r="G58" s="177">
        <v>160607</v>
      </c>
      <c r="H58" s="53">
        <v>23267</v>
      </c>
      <c r="I58" s="54">
        <f t="shared" si="21"/>
        <v>1963</v>
      </c>
      <c r="J58" s="59" t="str">
        <f t="shared" si="49"/>
        <v>V</v>
      </c>
      <c r="K58" s="22" t="s">
        <v>165</v>
      </c>
      <c r="L58" s="22">
        <v>8254</v>
      </c>
      <c r="M58" s="22" t="s">
        <v>37</v>
      </c>
      <c r="N58" s="23" t="s">
        <v>367</v>
      </c>
      <c r="O58" s="22" t="s">
        <v>81</v>
      </c>
      <c r="P58" s="56" t="s">
        <v>208</v>
      </c>
      <c r="Q58" s="15">
        <v>90</v>
      </c>
      <c r="R58" s="57"/>
      <c r="S58" s="189"/>
      <c r="T58" s="64"/>
      <c r="U58" s="64"/>
      <c r="V58" s="23"/>
      <c r="W58" s="23"/>
      <c r="X58" s="23"/>
      <c r="Y58" s="184"/>
      <c r="Z58" s="16"/>
      <c r="AA58" s="39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29"/>
      <c r="AR58" s="24">
        <f t="shared" si="23"/>
        <v>0</v>
      </c>
      <c r="AS58" s="24">
        <f t="shared" si="24"/>
        <v>0</v>
      </c>
      <c r="AT58" s="24">
        <f t="shared" si="25"/>
        <v>0</v>
      </c>
      <c r="AU58" s="24">
        <f t="shared" si="26"/>
        <v>0</v>
      </c>
      <c r="AV58" s="24">
        <f t="shared" si="26"/>
        <v>0</v>
      </c>
      <c r="AW58" s="24">
        <f t="shared" si="27"/>
        <v>0</v>
      </c>
      <c r="AX58" s="24">
        <f t="shared" si="28"/>
        <v>0</v>
      </c>
      <c r="AY58" s="24">
        <f t="shared" si="29"/>
        <v>0</v>
      </c>
      <c r="AZ58" s="24">
        <f t="shared" si="29"/>
        <v>0</v>
      </c>
      <c r="BA58" s="24">
        <f t="shared" si="50"/>
        <v>0</v>
      </c>
      <c r="BB58" s="24">
        <f t="shared" si="51"/>
        <v>0</v>
      </c>
      <c r="BC58" s="24">
        <f t="shared" si="52"/>
        <v>0</v>
      </c>
      <c r="BD58" s="24">
        <f t="shared" si="53"/>
        <v>0</v>
      </c>
      <c r="BE58" s="24">
        <f t="shared" si="54"/>
        <v>0</v>
      </c>
      <c r="BF58" s="24">
        <f t="shared" si="55"/>
        <v>0</v>
      </c>
      <c r="BG58" s="46">
        <f t="shared" si="56"/>
        <v>0</v>
      </c>
      <c r="BH58" s="24">
        <f t="shared" si="31"/>
        <v>0</v>
      </c>
      <c r="BI58" s="24">
        <f t="shared" si="32"/>
        <v>0</v>
      </c>
      <c r="BJ58" s="43">
        <f t="shared" si="88"/>
        <v>0</v>
      </c>
      <c r="BK58" s="44">
        <f t="shared" si="18"/>
        <v>0</v>
      </c>
    </row>
    <row r="59" spans="1:63" ht="12.75" customHeight="1" x14ac:dyDescent="0.2">
      <c r="A59" s="22">
        <v>55</v>
      </c>
      <c r="B59" s="23" t="s">
        <v>193</v>
      </c>
      <c r="C59" s="58" t="s">
        <v>194</v>
      </c>
      <c r="D59" s="51" t="str">
        <f t="shared" si="0"/>
        <v>Sätteli Marcel</v>
      </c>
      <c r="E59" s="51" t="str">
        <f t="shared" si="20"/>
        <v>720769 (Sätteli Marcel)</v>
      </c>
      <c r="F59" s="51" t="e">
        <f>VLOOKUP($E59,#REF!,1,0)</f>
        <v>#REF!</v>
      </c>
      <c r="G59" s="177">
        <v>720769</v>
      </c>
      <c r="H59" s="53">
        <v>23305</v>
      </c>
      <c r="I59" s="54">
        <f t="shared" si="21"/>
        <v>1963</v>
      </c>
      <c r="J59" s="59" t="str">
        <f t="shared" si="49"/>
        <v>V</v>
      </c>
      <c r="K59" s="22" t="s">
        <v>195</v>
      </c>
      <c r="L59" s="22">
        <v>8254</v>
      </c>
      <c r="M59" s="22" t="s">
        <v>37</v>
      </c>
      <c r="N59" s="22" t="s">
        <v>280</v>
      </c>
      <c r="O59" s="22" t="s">
        <v>196</v>
      </c>
      <c r="P59" s="56" t="s">
        <v>334</v>
      </c>
      <c r="Q59" s="15">
        <v>90</v>
      </c>
      <c r="R59" s="57">
        <v>2</v>
      </c>
      <c r="S59" s="189"/>
      <c r="T59" s="64"/>
      <c r="U59" s="64"/>
      <c r="V59" s="23"/>
      <c r="W59" s="23"/>
      <c r="X59" s="23"/>
      <c r="Y59" s="184"/>
      <c r="Z59" s="16"/>
      <c r="AA59" s="39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181"/>
      <c r="AR59" s="24">
        <f t="shared" si="23"/>
        <v>0</v>
      </c>
      <c r="AS59" s="24">
        <f t="shared" si="24"/>
        <v>0</v>
      </c>
      <c r="AT59" s="24">
        <f t="shared" si="25"/>
        <v>0</v>
      </c>
      <c r="AU59" s="24">
        <f t="shared" si="26"/>
        <v>0</v>
      </c>
      <c r="AV59" s="24">
        <f t="shared" si="26"/>
        <v>0</v>
      </c>
      <c r="AW59" s="24">
        <f t="shared" si="27"/>
        <v>0</v>
      </c>
      <c r="AX59" s="24">
        <f t="shared" si="28"/>
        <v>0</v>
      </c>
      <c r="AY59" s="24">
        <f t="shared" si="29"/>
        <v>0</v>
      </c>
      <c r="AZ59" s="24">
        <f t="shared" si="29"/>
        <v>0</v>
      </c>
      <c r="BA59" s="24">
        <f t="shared" si="50"/>
        <v>0</v>
      </c>
      <c r="BB59" s="24">
        <f t="shared" si="51"/>
        <v>0</v>
      </c>
      <c r="BC59" s="24">
        <f t="shared" si="52"/>
        <v>0</v>
      </c>
      <c r="BD59" s="24">
        <f t="shared" si="53"/>
        <v>0</v>
      </c>
      <c r="BE59" s="24">
        <f t="shared" si="54"/>
        <v>0</v>
      </c>
      <c r="BF59" s="24">
        <f t="shared" si="55"/>
        <v>0</v>
      </c>
      <c r="BG59" s="46">
        <f t="shared" si="56"/>
        <v>0</v>
      </c>
      <c r="BH59" s="24">
        <f t="shared" si="31"/>
        <v>0</v>
      </c>
      <c r="BI59" s="24">
        <f t="shared" si="32"/>
        <v>0</v>
      </c>
      <c r="BJ59" s="43">
        <f t="shared" si="88"/>
        <v>0</v>
      </c>
      <c r="BK59" s="44">
        <f t="shared" si="18"/>
        <v>0</v>
      </c>
    </row>
    <row r="60" spans="1:63" ht="12.75" customHeight="1" x14ac:dyDescent="0.2">
      <c r="A60" s="22">
        <v>56</v>
      </c>
      <c r="B60" s="23" t="s">
        <v>329</v>
      </c>
      <c r="C60" s="58" t="s">
        <v>129</v>
      </c>
      <c r="D60" s="51" t="str">
        <f t="shared" si="0"/>
        <v>Schmalfuss Dominic</v>
      </c>
      <c r="E60" s="51" t="str">
        <f>$G60&amp;" ("&amp;D60&amp;")"</f>
        <v>871787 (Schmalfuss Dominic)</v>
      </c>
      <c r="F60" s="51" t="e">
        <f>VLOOKUP($E60,#REF!,1,0)</f>
        <v>#REF!</v>
      </c>
      <c r="G60" s="177">
        <v>871787</v>
      </c>
      <c r="H60" s="53">
        <v>36831</v>
      </c>
      <c r="I60" s="54">
        <f t="shared" si="21"/>
        <v>2000</v>
      </c>
      <c r="J60" s="55" t="str">
        <f>IF(YEAR($K$1)-I60&lt;=14,"JJ",IF(YEAR($K$1)-I60&lt;=20,"J",IF(YEAR($K$1)-I60&gt;=70,"SV",IF(YEAR($K$1)-I60&gt;=60,"V",""))))</f>
        <v/>
      </c>
      <c r="K60" s="23" t="s">
        <v>330</v>
      </c>
      <c r="L60" s="22">
        <v>8255</v>
      </c>
      <c r="M60" s="23" t="s">
        <v>158</v>
      </c>
      <c r="N60" s="60" t="s">
        <v>348</v>
      </c>
      <c r="O60" s="22"/>
      <c r="P60" s="56" t="s">
        <v>349</v>
      </c>
      <c r="Q60" s="15">
        <v>90</v>
      </c>
      <c r="R60" s="57"/>
      <c r="S60" s="80"/>
      <c r="T60" s="23"/>
      <c r="U60" s="23"/>
      <c r="V60" s="23"/>
      <c r="W60" s="23"/>
      <c r="X60" s="23"/>
      <c r="Y60" s="23"/>
      <c r="Z60" s="16"/>
      <c r="AA60" s="39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29"/>
      <c r="AR60" s="24">
        <f t="shared" si="23"/>
        <v>0</v>
      </c>
      <c r="AS60" s="24">
        <f t="shared" si="24"/>
        <v>0</v>
      </c>
      <c r="AT60" s="24">
        <f t="shared" si="25"/>
        <v>0</v>
      </c>
      <c r="AU60" s="24">
        <f t="shared" si="26"/>
        <v>0</v>
      </c>
      <c r="AV60" s="24">
        <f t="shared" si="26"/>
        <v>0</v>
      </c>
      <c r="AW60" s="24">
        <f t="shared" si="27"/>
        <v>0</v>
      </c>
      <c r="AX60" s="24">
        <f t="shared" si="28"/>
        <v>0</v>
      </c>
      <c r="AY60" s="24">
        <f t="shared" si="29"/>
        <v>0</v>
      </c>
      <c r="AZ60" s="24">
        <f t="shared" si="29"/>
        <v>0</v>
      </c>
      <c r="BA60" s="24">
        <f t="shared" ref="BA60:BG60" si="100">AJ60*AJ$4</f>
        <v>0</v>
      </c>
      <c r="BB60" s="24">
        <f t="shared" si="100"/>
        <v>0</v>
      </c>
      <c r="BC60" s="24">
        <f t="shared" si="100"/>
        <v>0</v>
      </c>
      <c r="BD60" s="24">
        <f t="shared" si="100"/>
        <v>0</v>
      </c>
      <c r="BE60" s="24">
        <f t="shared" si="100"/>
        <v>0</v>
      </c>
      <c r="BF60" s="24">
        <f t="shared" si="100"/>
        <v>0</v>
      </c>
      <c r="BG60" s="46">
        <f t="shared" si="100"/>
        <v>0</v>
      </c>
      <c r="BH60" s="24">
        <f t="shared" si="31"/>
        <v>0</v>
      </c>
      <c r="BI60" s="24">
        <f t="shared" si="32"/>
        <v>0</v>
      </c>
      <c r="BJ60" s="43">
        <f t="shared" si="88"/>
        <v>0</v>
      </c>
      <c r="BK60" s="44">
        <f t="shared" si="18"/>
        <v>0</v>
      </c>
    </row>
    <row r="61" spans="1:63" ht="12.75" customHeight="1" x14ac:dyDescent="0.25">
      <c r="A61" s="22">
        <v>57</v>
      </c>
      <c r="B61" s="22" t="s">
        <v>48</v>
      </c>
      <c r="C61" s="51" t="s">
        <v>204</v>
      </c>
      <c r="D61" s="51" t="str">
        <f t="shared" si="0"/>
        <v>Schmid Florian</v>
      </c>
      <c r="E61" s="51" t="str">
        <f t="shared" si="20"/>
        <v>746308 (Schmid Florian)</v>
      </c>
      <c r="F61" s="51" t="e">
        <f>VLOOKUP($E61,#REF!,1,0)</f>
        <v>#REF!</v>
      </c>
      <c r="G61" s="177">
        <v>746308</v>
      </c>
      <c r="H61" s="53">
        <v>35603</v>
      </c>
      <c r="I61" s="54">
        <f t="shared" si="21"/>
        <v>1997</v>
      </c>
      <c r="J61" s="55" t="str">
        <f t="shared" si="49"/>
        <v/>
      </c>
      <c r="K61" s="23" t="s">
        <v>205</v>
      </c>
      <c r="L61" s="22">
        <v>8254</v>
      </c>
      <c r="M61" s="23" t="s">
        <v>37</v>
      </c>
      <c r="N61" s="22" t="s">
        <v>275</v>
      </c>
      <c r="O61" s="22" t="s">
        <v>298</v>
      </c>
      <c r="P61" s="56" t="s">
        <v>276</v>
      </c>
      <c r="Q61" s="15">
        <v>90</v>
      </c>
      <c r="R61" s="57"/>
      <c r="S61" s="80"/>
      <c r="T61" s="64"/>
      <c r="U61" s="64"/>
      <c r="V61" s="23"/>
      <c r="W61" s="23"/>
      <c r="X61" s="23"/>
      <c r="Y61" s="134"/>
      <c r="Z61" s="16"/>
      <c r="AA61" s="39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29"/>
      <c r="AR61" s="24">
        <f t="shared" ref="AR61:AZ61" si="101">AA61*AA$4</f>
        <v>0</v>
      </c>
      <c r="AS61" s="24">
        <f t="shared" si="101"/>
        <v>0</v>
      </c>
      <c r="AT61" s="24">
        <f t="shared" si="101"/>
        <v>0</v>
      </c>
      <c r="AU61" s="24">
        <f t="shared" si="101"/>
        <v>0</v>
      </c>
      <c r="AV61" s="24">
        <f t="shared" si="101"/>
        <v>0</v>
      </c>
      <c r="AW61" s="24">
        <f t="shared" si="101"/>
        <v>0</v>
      </c>
      <c r="AX61" s="24">
        <f t="shared" si="101"/>
        <v>0</v>
      </c>
      <c r="AY61" s="24">
        <f t="shared" si="101"/>
        <v>0</v>
      </c>
      <c r="AZ61" s="24">
        <f t="shared" si="101"/>
        <v>0</v>
      </c>
      <c r="BA61" s="24">
        <f t="shared" si="50"/>
        <v>0</v>
      </c>
      <c r="BB61" s="24">
        <f t="shared" si="51"/>
        <v>0</v>
      </c>
      <c r="BC61" s="24">
        <f t="shared" si="52"/>
        <v>0</v>
      </c>
      <c r="BD61" s="24">
        <f t="shared" si="53"/>
        <v>0</v>
      </c>
      <c r="BE61" s="24">
        <f t="shared" si="54"/>
        <v>0</v>
      </c>
      <c r="BF61" s="24">
        <f t="shared" si="55"/>
        <v>0</v>
      </c>
      <c r="BG61" s="46">
        <f t="shared" si="56"/>
        <v>0</v>
      </c>
      <c r="BH61" s="24">
        <f t="shared" si="31"/>
        <v>0</v>
      </c>
      <c r="BI61" s="24">
        <f t="shared" si="32"/>
        <v>0</v>
      </c>
      <c r="BJ61" s="43">
        <f t="shared" si="88"/>
        <v>0</v>
      </c>
      <c r="BK61" s="44">
        <f t="shared" si="18"/>
        <v>0</v>
      </c>
    </row>
    <row r="62" spans="1:63" ht="12.75" customHeight="1" x14ac:dyDescent="0.2">
      <c r="A62" s="22">
        <v>58</v>
      </c>
      <c r="B62" s="22" t="s">
        <v>48</v>
      </c>
      <c r="C62" s="51" t="s">
        <v>49</v>
      </c>
      <c r="D62" s="51" t="str">
        <f t="shared" si="0"/>
        <v>Schmid Louis</v>
      </c>
      <c r="E62" s="51" t="str">
        <f t="shared" si="20"/>
        <v>160608 (Schmid Louis)</v>
      </c>
      <c r="F62" s="51" t="e">
        <f>VLOOKUP($E62,#REF!,1,0)</f>
        <v>#REF!</v>
      </c>
      <c r="G62" s="177">
        <v>160608</v>
      </c>
      <c r="H62" s="53">
        <v>20056</v>
      </c>
      <c r="I62" s="54">
        <f t="shared" si="21"/>
        <v>1954</v>
      </c>
      <c r="J62" s="59" t="str">
        <f t="shared" si="49"/>
        <v>SV</v>
      </c>
      <c r="K62" s="22" t="s">
        <v>50</v>
      </c>
      <c r="L62" s="22">
        <v>8254</v>
      </c>
      <c r="M62" s="22" t="s">
        <v>37</v>
      </c>
      <c r="N62" s="22" t="s">
        <v>51</v>
      </c>
      <c r="O62" s="22" t="s">
        <v>52</v>
      </c>
      <c r="P62" s="56"/>
      <c r="Q62" s="15" t="s">
        <v>20</v>
      </c>
      <c r="R62" s="57"/>
      <c r="S62" s="80"/>
      <c r="T62" s="64"/>
      <c r="U62" s="64"/>
      <c r="V62" s="23"/>
      <c r="W62" s="23"/>
      <c r="X62" s="23"/>
      <c r="Y62" s="23"/>
      <c r="Z62" s="16"/>
      <c r="AA62" s="39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160"/>
      <c r="AR62" s="24">
        <f t="shared" si="23"/>
        <v>0</v>
      </c>
      <c r="AS62" s="24">
        <f t="shared" si="24"/>
        <v>0</v>
      </c>
      <c r="AT62" s="24">
        <f t="shared" si="25"/>
        <v>0</v>
      </c>
      <c r="AU62" s="24">
        <f t="shared" si="26"/>
        <v>0</v>
      </c>
      <c r="AV62" s="24">
        <f t="shared" si="26"/>
        <v>0</v>
      </c>
      <c r="AW62" s="24">
        <f t="shared" si="27"/>
        <v>0</v>
      </c>
      <c r="AX62" s="24">
        <f t="shared" si="28"/>
        <v>0</v>
      </c>
      <c r="AY62" s="24">
        <f t="shared" si="29"/>
        <v>0</v>
      </c>
      <c r="AZ62" s="24">
        <f t="shared" si="29"/>
        <v>0</v>
      </c>
      <c r="BA62" s="24">
        <f t="shared" si="50"/>
        <v>0</v>
      </c>
      <c r="BB62" s="24">
        <f t="shared" si="51"/>
        <v>0</v>
      </c>
      <c r="BC62" s="24">
        <f t="shared" si="52"/>
        <v>0</v>
      </c>
      <c r="BD62" s="24">
        <f t="shared" si="53"/>
        <v>0</v>
      </c>
      <c r="BE62" s="24">
        <f t="shared" si="54"/>
        <v>0</v>
      </c>
      <c r="BF62" s="24">
        <f t="shared" si="55"/>
        <v>0</v>
      </c>
      <c r="BG62" s="46">
        <f t="shared" si="56"/>
        <v>0</v>
      </c>
      <c r="BH62" s="24">
        <f t="shared" si="31"/>
        <v>0</v>
      </c>
      <c r="BI62" s="24">
        <f t="shared" si="32"/>
        <v>0</v>
      </c>
      <c r="BJ62" s="43">
        <f t="shared" si="88"/>
        <v>0</v>
      </c>
      <c r="BK62" s="44">
        <f t="shared" si="18"/>
        <v>0</v>
      </c>
    </row>
    <row r="63" spans="1:63" ht="12.75" customHeight="1" x14ac:dyDescent="0.2">
      <c r="A63" s="22">
        <v>59</v>
      </c>
      <c r="B63" s="22" t="s">
        <v>48</v>
      </c>
      <c r="C63" s="51" t="s">
        <v>53</v>
      </c>
      <c r="D63" s="51" t="str">
        <f t="shared" si="0"/>
        <v>Schmid Manuel</v>
      </c>
      <c r="E63" s="51" t="str">
        <f t="shared" si="20"/>
        <v>234674 (Schmid Manuel)</v>
      </c>
      <c r="F63" s="51" t="e">
        <f>VLOOKUP($E63,#REF!,1,0)</f>
        <v>#REF!</v>
      </c>
      <c r="G63" s="177">
        <v>234674</v>
      </c>
      <c r="H63" s="53">
        <v>31972</v>
      </c>
      <c r="I63" s="54">
        <f t="shared" si="21"/>
        <v>1987</v>
      </c>
      <c r="J63" s="59" t="str">
        <f t="shared" si="49"/>
        <v/>
      </c>
      <c r="K63" s="22" t="s">
        <v>341</v>
      </c>
      <c r="L63" s="22">
        <v>8254</v>
      </c>
      <c r="M63" s="22" t="s">
        <v>37</v>
      </c>
      <c r="N63" s="22" t="s">
        <v>54</v>
      </c>
      <c r="O63" s="22" t="s">
        <v>52</v>
      </c>
      <c r="P63" s="56" t="s">
        <v>342</v>
      </c>
      <c r="Q63" s="15" t="s">
        <v>20</v>
      </c>
      <c r="R63" s="57">
        <v>2</v>
      </c>
      <c r="S63" s="189"/>
      <c r="T63" s="64"/>
      <c r="U63" s="64"/>
      <c r="V63" s="23"/>
      <c r="W63" s="23"/>
      <c r="X63" s="23"/>
      <c r="Y63" s="184"/>
      <c r="Z63" s="16"/>
      <c r="AA63" s="39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182"/>
      <c r="AR63" s="24">
        <f t="shared" si="23"/>
        <v>0</v>
      </c>
      <c r="AS63" s="24">
        <f t="shared" si="24"/>
        <v>0</v>
      </c>
      <c r="AT63" s="24">
        <f t="shared" si="25"/>
        <v>0</v>
      </c>
      <c r="AU63" s="24">
        <f t="shared" si="26"/>
        <v>0</v>
      </c>
      <c r="AV63" s="24">
        <f t="shared" si="26"/>
        <v>0</v>
      </c>
      <c r="AW63" s="24">
        <f t="shared" si="27"/>
        <v>0</v>
      </c>
      <c r="AX63" s="24">
        <f t="shared" si="28"/>
        <v>0</v>
      </c>
      <c r="AY63" s="24">
        <f t="shared" si="29"/>
        <v>0</v>
      </c>
      <c r="AZ63" s="24">
        <f t="shared" si="29"/>
        <v>0</v>
      </c>
      <c r="BA63" s="24">
        <f t="shared" si="50"/>
        <v>0</v>
      </c>
      <c r="BB63" s="24">
        <f t="shared" si="51"/>
        <v>0</v>
      </c>
      <c r="BC63" s="24">
        <f t="shared" si="52"/>
        <v>0</v>
      </c>
      <c r="BD63" s="24">
        <f t="shared" si="53"/>
        <v>0</v>
      </c>
      <c r="BE63" s="24">
        <f t="shared" si="54"/>
        <v>0</v>
      </c>
      <c r="BF63" s="24">
        <f t="shared" si="55"/>
        <v>0</v>
      </c>
      <c r="BG63" s="46">
        <f t="shared" si="56"/>
        <v>0</v>
      </c>
      <c r="BH63" s="24">
        <f t="shared" si="31"/>
        <v>0</v>
      </c>
      <c r="BI63" s="24">
        <f t="shared" si="32"/>
        <v>0</v>
      </c>
      <c r="BJ63" s="43">
        <f t="shared" si="88"/>
        <v>0</v>
      </c>
      <c r="BK63" s="44">
        <f t="shared" si="18"/>
        <v>0</v>
      </c>
    </row>
    <row r="64" spans="1:63" ht="12.75" customHeight="1" x14ac:dyDescent="0.2">
      <c r="A64" s="22">
        <v>60</v>
      </c>
      <c r="B64" s="22" t="s">
        <v>48</v>
      </c>
      <c r="C64" s="51" t="s">
        <v>95</v>
      </c>
      <c r="D64" s="51" t="str">
        <f t="shared" si="0"/>
        <v>Schmid Oliver</v>
      </c>
      <c r="E64" s="51" t="str">
        <f t="shared" si="20"/>
        <v>160624 (Schmid Oliver)</v>
      </c>
      <c r="F64" s="51" t="e">
        <f>VLOOKUP($E64,#REF!,1,0)</f>
        <v>#REF!</v>
      </c>
      <c r="G64" s="177">
        <v>160624</v>
      </c>
      <c r="H64" s="53">
        <v>30365</v>
      </c>
      <c r="I64" s="54">
        <f t="shared" ref="I64:I71" si="102">YEAR(H64)</f>
        <v>1983</v>
      </c>
      <c r="J64" s="59" t="str">
        <f t="shared" si="49"/>
        <v/>
      </c>
      <c r="K64" s="22" t="s">
        <v>173</v>
      </c>
      <c r="L64" s="22">
        <v>8463</v>
      </c>
      <c r="M64" s="22" t="s">
        <v>96</v>
      </c>
      <c r="N64" s="22" t="s">
        <v>97</v>
      </c>
      <c r="O64" s="22"/>
      <c r="P64" s="56" t="s">
        <v>152</v>
      </c>
      <c r="Q64" s="15" t="s">
        <v>20</v>
      </c>
      <c r="R64" s="57"/>
      <c r="S64" s="80"/>
      <c r="T64" s="23"/>
      <c r="U64" s="23"/>
      <c r="V64" s="23"/>
      <c r="W64" s="23"/>
      <c r="X64" s="23"/>
      <c r="Y64" s="23"/>
      <c r="Z64" s="16"/>
      <c r="AA64" s="39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160"/>
      <c r="AR64" s="24">
        <f t="shared" ref="AR64:AZ64" si="103">AA64*AA$4</f>
        <v>0</v>
      </c>
      <c r="AS64" s="24">
        <f t="shared" si="103"/>
        <v>0</v>
      </c>
      <c r="AT64" s="24">
        <f t="shared" si="103"/>
        <v>0</v>
      </c>
      <c r="AU64" s="24">
        <f t="shared" si="103"/>
        <v>0</v>
      </c>
      <c r="AV64" s="24">
        <f t="shared" si="103"/>
        <v>0</v>
      </c>
      <c r="AW64" s="24">
        <f t="shared" si="103"/>
        <v>0</v>
      </c>
      <c r="AX64" s="24">
        <f t="shared" si="103"/>
        <v>0</v>
      </c>
      <c r="AY64" s="24">
        <f t="shared" si="103"/>
        <v>0</v>
      </c>
      <c r="AZ64" s="24">
        <f t="shared" si="103"/>
        <v>0</v>
      </c>
      <c r="BA64" s="24">
        <f t="shared" ref="BA64:BG64" si="104">AJ64*AJ$4</f>
        <v>0</v>
      </c>
      <c r="BB64" s="24">
        <f t="shared" si="104"/>
        <v>0</v>
      </c>
      <c r="BC64" s="24">
        <f t="shared" si="104"/>
        <v>0</v>
      </c>
      <c r="BD64" s="24">
        <f t="shared" si="104"/>
        <v>0</v>
      </c>
      <c r="BE64" s="24">
        <f t="shared" si="104"/>
        <v>0</v>
      </c>
      <c r="BF64" s="24">
        <f t="shared" si="104"/>
        <v>0</v>
      </c>
      <c r="BG64" s="46">
        <f t="shared" si="104"/>
        <v>0</v>
      </c>
      <c r="BH64" s="24">
        <f t="shared" ref="BH64:BH73" si="105">SUM(AR64:BE64)</f>
        <v>0</v>
      </c>
      <c r="BI64" s="24">
        <f t="shared" ref="BI64:BI71" si="106">SUM(AR64:BG64)</f>
        <v>0</v>
      </c>
      <c r="BJ64" s="43">
        <f t="shared" si="88"/>
        <v>0</v>
      </c>
      <c r="BK64" s="44">
        <f t="shared" si="18"/>
        <v>0</v>
      </c>
    </row>
    <row r="65" spans="1:64" ht="12.75" customHeight="1" x14ac:dyDescent="0.2">
      <c r="A65" s="22">
        <v>61</v>
      </c>
      <c r="B65" s="23" t="s">
        <v>197</v>
      </c>
      <c r="C65" s="58" t="s">
        <v>198</v>
      </c>
      <c r="D65" s="51" t="str">
        <f t="shared" si="0"/>
        <v>Schoch Sabrina</v>
      </c>
      <c r="E65" s="51" t="str">
        <f t="shared" si="20"/>
        <v>734126 (Schoch Sabrina)</v>
      </c>
      <c r="F65" s="51" t="e">
        <f>VLOOKUP($E65,#REF!,1,0)</f>
        <v>#REF!</v>
      </c>
      <c r="G65" s="177">
        <v>734126</v>
      </c>
      <c r="H65" s="53">
        <v>29469</v>
      </c>
      <c r="I65" s="54">
        <f t="shared" si="102"/>
        <v>1980</v>
      </c>
      <c r="J65" s="59" t="str">
        <f t="shared" si="49"/>
        <v/>
      </c>
      <c r="K65" s="22" t="s">
        <v>199</v>
      </c>
      <c r="L65" s="22">
        <v>8463</v>
      </c>
      <c r="M65" s="22" t="s">
        <v>96</v>
      </c>
      <c r="N65" s="22" t="s">
        <v>200</v>
      </c>
      <c r="O65" s="22"/>
      <c r="P65" s="56" t="s">
        <v>201</v>
      </c>
      <c r="Q65" s="15" t="s">
        <v>20</v>
      </c>
      <c r="R65" s="57"/>
      <c r="S65" s="80"/>
      <c r="T65" s="23"/>
      <c r="U65" s="23"/>
      <c r="V65" s="23"/>
      <c r="W65" s="23"/>
      <c r="X65" s="23"/>
      <c r="Y65" s="23"/>
      <c r="Z65" s="16"/>
      <c r="AA65" s="39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29"/>
      <c r="AR65" s="24">
        <f t="shared" si="23"/>
        <v>0</v>
      </c>
      <c r="AS65" s="24">
        <f t="shared" si="24"/>
        <v>0</v>
      </c>
      <c r="AT65" s="24">
        <f t="shared" si="25"/>
        <v>0</v>
      </c>
      <c r="AU65" s="24">
        <f t="shared" si="26"/>
        <v>0</v>
      </c>
      <c r="AV65" s="24">
        <f t="shared" si="26"/>
        <v>0</v>
      </c>
      <c r="AW65" s="24">
        <f t="shared" si="27"/>
        <v>0</v>
      </c>
      <c r="AX65" s="24">
        <f t="shared" si="28"/>
        <v>0</v>
      </c>
      <c r="AY65" s="24">
        <f t="shared" si="29"/>
        <v>0</v>
      </c>
      <c r="AZ65" s="24">
        <f t="shared" si="29"/>
        <v>0</v>
      </c>
      <c r="BA65" s="24">
        <f t="shared" si="50"/>
        <v>0</v>
      </c>
      <c r="BB65" s="24">
        <f t="shared" si="51"/>
        <v>0</v>
      </c>
      <c r="BC65" s="24">
        <f t="shared" si="52"/>
        <v>0</v>
      </c>
      <c r="BD65" s="24">
        <f t="shared" si="53"/>
        <v>0</v>
      </c>
      <c r="BE65" s="24">
        <f t="shared" si="54"/>
        <v>0</v>
      </c>
      <c r="BF65" s="24">
        <f t="shared" si="55"/>
        <v>0</v>
      </c>
      <c r="BG65" s="46">
        <f t="shared" si="56"/>
        <v>0</v>
      </c>
      <c r="BH65" s="24">
        <f t="shared" si="105"/>
        <v>0</v>
      </c>
      <c r="BI65" s="24">
        <f t="shared" si="106"/>
        <v>0</v>
      </c>
      <c r="BJ65" s="43">
        <f t="shared" si="88"/>
        <v>0</v>
      </c>
      <c r="BK65" s="44">
        <f t="shared" si="18"/>
        <v>0</v>
      </c>
    </row>
    <row r="66" spans="1:64" ht="12.75" customHeight="1" x14ac:dyDescent="0.2">
      <c r="A66" s="22">
        <v>62</v>
      </c>
      <c r="B66" s="22" t="s">
        <v>142</v>
      </c>
      <c r="C66" s="51" t="s">
        <v>143</v>
      </c>
      <c r="D66" s="51" t="str">
        <f t="shared" si="0"/>
        <v>Senn Nico</v>
      </c>
      <c r="E66" s="51" t="str">
        <f t="shared" si="20"/>
        <v>536357 (Senn Nico)</v>
      </c>
      <c r="F66" s="51" t="e">
        <f>VLOOKUP($E66,#REF!,1,0)</f>
        <v>#REF!</v>
      </c>
      <c r="G66" s="179">
        <v>536357</v>
      </c>
      <c r="H66" s="53">
        <v>34036</v>
      </c>
      <c r="I66" s="54">
        <f t="shared" si="102"/>
        <v>1993</v>
      </c>
      <c r="J66" s="59" t="str">
        <f t="shared" si="49"/>
        <v/>
      </c>
      <c r="K66" s="23" t="s">
        <v>377</v>
      </c>
      <c r="L66" s="22">
        <v>8254</v>
      </c>
      <c r="M66" s="23" t="s">
        <v>37</v>
      </c>
      <c r="N66" s="22" t="s">
        <v>144</v>
      </c>
      <c r="O66" s="22"/>
      <c r="P66" s="56" t="s">
        <v>145</v>
      </c>
      <c r="Q66" s="15">
        <v>90</v>
      </c>
      <c r="R66" s="57">
        <v>3</v>
      </c>
      <c r="S66" s="189" t="s">
        <v>365</v>
      </c>
      <c r="T66" s="64"/>
      <c r="U66" s="64"/>
      <c r="V66" s="23"/>
      <c r="W66" s="23">
        <v>1</v>
      </c>
      <c r="X66" s="23">
        <v>1</v>
      </c>
      <c r="Y66" s="184" t="s">
        <v>487</v>
      </c>
      <c r="Z66" s="16"/>
      <c r="AA66" s="39">
        <v>3</v>
      </c>
      <c r="AB66" s="40">
        <v>1</v>
      </c>
      <c r="AC66" s="40"/>
      <c r="AD66" s="40"/>
      <c r="AE66" s="40"/>
      <c r="AF66" s="40">
        <v>1</v>
      </c>
      <c r="AG66" s="40">
        <v>1</v>
      </c>
      <c r="AH66" s="40">
        <v>1</v>
      </c>
      <c r="AI66" s="40">
        <v>1</v>
      </c>
      <c r="AJ66" s="40"/>
      <c r="AK66" s="40"/>
      <c r="AL66" s="40"/>
      <c r="AM66" s="40"/>
      <c r="AN66" s="40"/>
      <c r="AO66" s="40"/>
      <c r="AP66" s="40"/>
      <c r="AQ66" s="29"/>
      <c r="AR66" s="24">
        <f t="shared" ref="AR66:AZ66" si="107">AA66*AA$4</f>
        <v>15</v>
      </c>
      <c r="AS66" s="24">
        <f t="shared" si="107"/>
        <v>10</v>
      </c>
      <c r="AT66" s="24">
        <f t="shared" si="107"/>
        <v>0</v>
      </c>
      <c r="AU66" s="24">
        <f t="shared" si="107"/>
        <v>0</v>
      </c>
      <c r="AV66" s="24">
        <f t="shared" si="107"/>
        <v>0</v>
      </c>
      <c r="AW66" s="24">
        <f t="shared" si="107"/>
        <v>6</v>
      </c>
      <c r="AX66" s="24">
        <f t="shared" si="107"/>
        <v>6</v>
      </c>
      <c r="AY66" s="24">
        <f t="shared" si="107"/>
        <v>6</v>
      </c>
      <c r="AZ66" s="24">
        <f t="shared" si="107"/>
        <v>6</v>
      </c>
      <c r="BA66" s="24">
        <f t="shared" ref="BA66:BG66" si="108">AJ66*AJ$4</f>
        <v>0</v>
      </c>
      <c r="BB66" s="24">
        <f t="shared" si="108"/>
        <v>0</v>
      </c>
      <c r="BC66" s="24">
        <f t="shared" si="108"/>
        <v>0</v>
      </c>
      <c r="BD66" s="24">
        <f t="shared" si="108"/>
        <v>0</v>
      </c>
      <c r="BE66" s="24">
        <f t="shared" si="108"/>
        <v>0</v>
      </c>
      <c r="BF66" s="24">
        <f t="shared" si="108"/>
        <v>0</v>
      </c>
      <c r="BG66" s="46">
        <f t="shared" si="108"/>
        <v>0</v>
      </c>
      <c r="BH66" s="24">
        <f t="shared" si="105"/>
        <v>49</v>
      </c>
      <c r="BI66" s="24">
        <f t="shared" si="106"/>
        <v>49</v>
      </c>
      <c r="BJ66" s="43">
        <f t="shared" si="88"/>
        <v>3</v>
      </c>
      <c r="BK66" s="44">
        <f t="shared" si="18"/>
        <v>0</v>
      </c>
    </row>
    <row r="67" spans="1:64" ht="12.75" customHeight="1" x14ac:dyDescent="0.2">
      <c r="A67" s="22">
        <v>63</v>
      </c>
      <c r="B67" s="22" t="s">
        <v>187</v>
      </c>
      <c r="C67" s="51" t="s">
        <v>206</v>
      </c>
      <c r="D67" s="51" t="str">
        <f t="shared" si="0"/>
        <v>Waldvogel Caroline</v>
      </c>
      <c r="E67" s="51" t="str">
        <f t="shared" si="20"/>
        <v>746305 (Waldvogel Caroline)</v>
      </c>
      <c r="F67" s="51" t="e">
        <f>VLOOKUP($E67,#REF!,1,0)</f>
        <v>#REF!</v>
      </c>
      <c r="G67" s="177">
        <v>746305</v>
      </c>
      <c r="H67" s="53">
        <v>35035</v>
      </c>
      <c r="I67" s="54">
        <f t="shared" si="102"/>
        <v>1995</v>
      </c>
      <c r="J67" s="55" t="str">
        <f t="shared" si="49"/>
        <v/>
      </c>
      <c r="K67" s="23" t="s">
        <v>393</v>
      </c>
      <c r="L67" s="22">
        <v>8253</v>
      </c>
      <c r="M67" s="23" t="s">
        <v>33</v>
      </c>
      <c r="N67" s="23" t="s">
        <v>274</v>
      </c>
      <c r="O67" s="23"/>
      <c r="P67" s="56" t="s">
        <v>288</v>
      </c>
      <c r="Q67" s="15" t="s">
        <v>20</v>
      </c>
      <c r="R67" s="57"/>
      <c r="S67" s="80"/>
      <c r="T67" s="64"/>
      <c r="U67" s="64"/>
      <c r="V67" s="23"/>
      <c r="W67" s="23"/>
      <c r="X67" s="23"/>
      <c r="Y67" s="23"/>
      <c r="Z67" s="16"/>
      <c r="AA67" s="39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29"/>
      <c r="AR67" s="24">
        <f>AA67*AA$4</f>
        <v>0</v>
      </c>
      <c r="AS67" s="24">
        <f>AB67*AB$4</f>
        <v>0</v>
      </c>
      <c r="AT67" s="24">
        <f t="shared" si="25"/>
        <v>0</v>
      </c>
      <c r="AU67" s="24">
        <f t="shared" si="26"/>
        <v>0</v>
      </c>
      <c r="AV67" s="24">
        <f t="shared" si="26"/>
        <v>0</v>
      </c>
      <c r="AW67" s="24">
        <f t="shared" si="27"/>
        <v>0</v>
      </c>
      <c r="AX67" s="24">
        <f t="shared" si="28"/>
        <v>0</v>
      </c>
      <c r="AY67" s="24">
        <f t="shared" si="29"/>
        <v>0</v>
      </c>
      <c r="AZ67" s="24">
        <f t="shared" si="29"/>
        <v>0</v>
      </c>
      <c r="BA67" s="24">
        <f t="shared" ref="BA67:BG67" si="109">AJ67*AJ$4</f>
        <v>0</v>
      </c>
      <c r="BB67" s="24">
        <f t="shared" si="109"/>
        <v>0</v>
      </c>
      <c r="BC67" s="24">
        <f t="shared" si="109"/>
        <v>0</v>
      </c>
      <c r="BD67" s="24">
        <f t="shared" si="109"/>
        <v>0</v>
      </c>
      <c r="BE67" s="24">
        <f t="shared" si="109"/>
        <v>0</v>
      </c>
      <c r="BF67" s="24">
        <f t="shared" si="109"/>
        <v>0</v>
      </c>
      <c r="BG67" s="46">
        <f t="shared" si="109"/>
        <v>0</v>
      </c>
      <c r="BH67" s="24">
        <f t="shared" si="105"/>
        <v>0</v>
      </c>
      <c r="BI67" s="24">
        <f t="shared" si="106"/>
        <v>0</v>
      </c>
      <c r="BJ67" s="43">
        <f t="shared" si="88"/>
        <v>0</v>
      </c>
      <c r="BK67" s="44">
        <f t="shared" si="18"/>
        <v>0</v>
      </c>
    </row>
    <row r="68" spans="1:64" s="153" customFormat="1" ht="12.75" customHeight="1" x14ac:dyDescent="0.2">
      <c r="A68" s="22">
        <v>64</v>
      </c>
      <c r="B68" s="161" t="s">
        <v>187</v>
      </c>
      <c r="C68" s="162" t="s">
        <v>188</v>
      </c>
      <c r="D68" s="162" t="str">
        <f t="shared" si="0"/>
        <v>Waldvogel Fabian</v>
      </c>
      <c r="E68" s="162" t="str">
        <f t="shared" si="20"/>
        <v>704100 (Waldvogel Fabian)</v>
      </c>
      <c r="F68" s="162" t="e">
        <f>VLOOKUP($E68,#REF!,1,0)</f>
        <v>#REF!</v>
      </c>
      <c r="G68" s="178">
        <v>704100</v>
      </c>
      <c r="H68" s="163">
        <v>35679</v>
      </c>
      <c r="I68" s="164">
        <f t="shared" si="102"/>
        <v>1997</v>
      </c>
      <c r="J68" s="169" t="str">
        <f t="shared" si="49"/>
        <v/>
      </c>
      <c r="K68" s="170" t="s">
        <v>191</v>
      </c>
      <c r="L68" s="170">
        <v>8254</v>
      </c>
      <c r="M68" s="170" t="s">
        <v>37</v>
      </c>
      <c r="N68" s="161" t="s">
        <v>189</v>
      </c>
      <c r="O68" s="161" t="s">
        <v>285</v>
      </c>
      <c r="P68" s="166" t="s">
        <v>190</v>
      </c>
      <c r="Q68" s="167">
        <v>90</v>
      </c>
      <c r="R68" s="168"/>
      <c r="S68" s="146"/>
      <c r="T68" s="144"/>
      <c r="U68" s="144"/>
      <c r="V68" s="144"/>
      <c r="W68" s="144"/>
      <c r="X68" s="144"/>
      <c r="Y68" s="144"/>
      <c r="Z68" s="147"/>
      <c r="AA68" s="147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8"/>
      <c r="AR68" s="149">
        <f t="shared" si="23"/>
        <v>0</v>
      </c>
      <c r="AS68" s="149">
        <f t="shared" si="24"/>
        <v>0</v>
      </c>
      <c r="AT68" s="149">
        <f t="shared" si="25"/>
        <v>0</v>
      </c>
      <c r="AU68" s="149">
        <f t="shared" si="26"/>
        <v>0</v>
      </c>
      <c r="AV68" s="149">
        <f t="shared" si="26"/>
        <v>0</v>
      </c>
      <c r="AW68" s="149">
        <f t="shared" si="27"/>
        <v>0</v>
      </c>
      <c r="AX68" s="149">
        <f t="shared" si="28"/>
        <v>0</v>
      </c>
      <c r="AY68" s="149">
        <f t="shared" si="29"/>
        <v>0</v>
      </c>
      <c r="AZ68" s="149">
        <f t="shared" si="29"/>
        <v>0</v>
      </c>
      <c r="BA68" s="149">
        <f t="shared" si="50"/>
        <v>0</v>
      </c>
      <c r="BB68" s="149">
        <f t="shared" si="51"/>
        <v>0</v>
      </c>
      <c r="BC68" s="149">
        <f t="shared" si="52"/>
        <v>0</v>
      </c>
      <c r="BD68" s="149">
        <f t="shared" si="53"/>
        <v>0</v>
      </c>
      <c r="BE68" s="149">
        <f t="shared" si="54"/>
        <v>0</v>
      </c>
      <c r="BF68" s="149">
        <f t="shared" si="55"/>
        <v>0</v>
      </c>
      <c r="BG68" s="150">
        <f t="shared" si="56"/>
        <v>0</v>
      </c>
      <c r="BH68" s="24">
        <f t="shared" si="105"/>
        <v>0</v>
      </c>
      <c r="BI68" s="149">
        <f t="shared" si="106"/>
        <v>0</v>
      </c>
      <c r="BJ68" s="151">
        <f t="shared" si="88"/>
        <v>0</v>
      </c>
      <c r="BK68" s="152">
        <f t="shared" si="18"/>
        <v>0</v>
      </c>
    </row>
    <row r="69" spans="1:64" ht="12.75" customHeight="1" x14ac:dyDescent="0.2">
      <c r="A69" s="22">
        <v>65</v>
      </c>
      <c r="B69" s="161" t="s">
        <v>166</v>
      </c>
      <c r="C69" s="162" t="s">
        <v>40</v>
      </c>
      <c r="D69" s="162" t="str">
        <f t="shared" si="0"/>
        <v>Wenger Andreas</v>
      </c>
      <c r="E69" s="162" t="str">
        <f>$G69&amp;" ("&amp;D69&amp;")"</f>
        <v>160611 (Wenger Andreas)</v>
      </c>
      <c r="F69" s="162" t="e">
        <f>VLOOKUP($E69,#REF!,1,0)</f>
        <v>#REF!</v>
      </c>
      <c r="G69" s="178">
        <v>160611</v>
      </c>
      <c r="H69" s="163">
        <v>24555</v>
      </c>
      <c r="I69" s="164">
        <f>YEAR(H69)</f>
        <v>1967</v>
      </c>
      <c r="J69" s="169" t="str">
        <f>IF(YEAR($K$1)-I69&lt;=14,"JJ",IF(YEAR($K$1)-I69&lt;=20,"J",IF(YEAR($K$1)-I69&gt;=70,"SV",IF(YEAR($K$1)-I69&gt;=60,"V",""))))</f>
        <v/>
      </c>
      <c r="K69" s="170" t="s">
        <v>167</v>
      </c>
      <c r="L69" s="170">
        <v>8253</v>
      </c>
      <c r="M69" s="170" t="s">
        <v>33</v>
      </c>
      <c r="N69" s="161" t="s">
        <v>176</v>
      </c>
      <c r="O69" s="161" t="s">
        <v>175</v>
      </c>
      <c r="P69" s="166" t="s">
        <v>368</v>
      </c>
      <c r="Q69" s="167" t="s">
        <v>20</v>
      </c>
      <c r="R69" s="168"/>
      <c r="S69" s="80"/>
      <c r="T69" s="23"/>
      <c r="U69" s="23"/>
      <c r="V69" s="23"/>
      <c r="W69" s="23"/>
      <c r="X69" s="23"/>
      <c r="Y69" s="173"/>
      <c r="Z69" s="16"/>
      <c r="AA69" s="39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29"/>
      <c r="AR69" s="24">
        <f t="shared" si="23"/>
        <v>0</v>
      </c>
      <c r="AS69" s="24">
        <f t="shared" si="24"/>
        <v>0</v>
      </c>
      <c r="AT69" s="24">
        <f t="shared" si="25"/>
        <v>0</v>
      </c>
      <c r="AU69" s="24">
        <f t="shared" si="26"/>
        <v>0</v>
      </c>
      <c r="AV69" s="24">
        <f t="shared" si="26"/>
        <v>0</v>
      </c>
      <c r="AW69" s="24">
        <f t="shared" si="27"/>
        <v>0</v>
      </c>
      <c r="AX69" s="24">
        <f t="shared" si="28"/>
        <v>0</v>
      </c>
      <c r="AY69" s="24">
        <f t="shared" si="29"/>
        <v>0</v>
      </c>
      <c r="AZ69" s="24">
        <f t="shared" si="29"/>
        <v>0</v>
      </c>
      <c r="BA69" s="24">
        <f t="shared" si="50"/>
        <v>0</v>
      </c>
      <c r="BB69" s="24">
        <f t="shared" si="51"/>
        <v>0</v>
      </c>
      <c r="BC69" s="24">
        <f t="shared" si="52"/>
        <v>0</v>
      </c>
      <c r="BD69" s="24">
        <f t="shared" si="53"/>
        <v>0</v>
      </c>
      <c r="BE69" s="24">
        <f t="shared" si="54"/>
        <v>0</v>
      </c>
      <c r="BF69" s="24">
        <f t="shared" si="55"/>
        <v>0</v>
      </c>
      <c r="BG69" s="46">
        <f t="shared" si="56"/>
        <v>0</v>
      </c>
      <c r="BH69" s="24">
        <f t="shared" si="105"/>
        <v>0</v>
      </c>
      <c r="BI69" s="24">
        <f>SUM(AR69:BG69)</f>
        <v>0</v>
      </c>
      <c r="BJ69" s="43">
        <f t="shared" si="88"/>
        <v>0</v>
      </c>
      <c r="BK69" s="44">
        <f t="shared" si="18"/>
        <v>0</v>
      </c>
    </row>
    <row r="70" spans="1:64" ht="12.75" customHeight="1" x14ac:dyDescent="0.2">
      <c r="A70" s="22">
        <v>66</v>
      </c>
      <c r="B70" s="23" t="s">
        <v>166</v>
      </c>
      <c r="C70" s="58" t="s">
        <v>398</v>
      </c>
      <c r="D70" s="51" t="str">
        <f t="shared" si="0"/>
        <v>Wenger Mark</v>
      </c>
      <c r="E70" s="51" t="str">
        <f t="shared" si="20"/>
        <v>002326 (Wenger Mark)</v>
      </c>
      <c r="F70" s="51" t="e">
        <f>VLOOKUP($E70,#REF!,1,0)</f>
        <v>#REF!</v>
      </c>
      <c r="G70" s="172" t="s">
        <v>416</v>
      </c>
      <c r="H70" s="53">
        <v>39219</v>
      </c>
      <c r="I70" s="54">
        <f t="shared" si="102"/>
        <v>2007</v>
      </c>
      <c r="J70" s="59" t="str">
        <f t="shared" si="49"/>
        <v>J</v>
      </c>
      <c r="K70" s="65" t="s">
        <v>417</v>
      </c>
      <c r="L70" s="65">
        <v>8253</v>
      </c>
      <c r="M70" s="65" t="s">
        <v>33</v>
      </c>
      <c r="N70" s="23"/>
      <c r="O70" s="22"/>
      <c r="P70" s="56"/>
      <c r="Q70" s="15">
        <v>90</v>
      </c>
      <c r="R70" s="57"/>
      <c r="S70" s="80"/>
      <c r="T70" s="23"/>
      <c r="U70" s="23"/>
      <c r="V70" s="23"/>
      <c r="W70" s="23"/>
      <c r="X70" s="23"/>
      <c r="Y70" s="23"/>
      <c r="Z70" s="16"/>
      <c r="AA70" s="39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29"/>
      <c r="AR70" s="24">
        <f t="shared" ref="AR70:AZ71" si="110">AA70*AA$4</f>
        <v>0</v>
      </c>
      <c r="AS70" s="24">
        <f t="shared" si="110"/>
        <v>0</v>
      </c>
      <c r="AT70" s="24">
        <f t="shared" si="110"/>
        <v>0</v>
      </c>
      <c r="AU70" s="24">
        <f t="shared" si="110"/>
        <v>0</v>
      </c>
      <c r="AV70" s="24">
        <f t="shared" si="110"/>
        <v>0</v>
      </c>
      <c r="AW70" s="24">
        <f t="shared" si="110"/>
        <v>0</v>
      </c>
      <c r="AX70" s="24">
        <f t="shared" si="110"/>
        <v>0</v>
      </c>
      <c r="AY70" s="24">
        <f t="shared" si="110"/>
        <v>0</v>
      </c>
      <c r="AZ70" s="24">
        <f t="shared" si="110"/>
        <v>0</v>
      </c>
      <c r="BA70" s="24">
        <f t="shared" ref="BA70:BG71" si="111">AJ70*AJ$4</f>
        <v>0</v>
      </c>
      <c r="BB70" s="24">
        <f t="shared" si="111"/>
        <v>0</v>
      </c>
      <c r="BC70" s="24">
        <f t="shared" si="111"/>
        <v>0</v>
      </c>
      <c r="BD70" s="24">
        <f t="shared" si="111"/>
        <v>0</v>
      </c>
      <c r="BE70" s="24">
        <f t="shared" si="111"/>
        <v>0</v>
      </c>
      <c r="BF70" s="24">
        <f t="shared" si="111"/>
        <v>0</v>
      </c>
      <c r="BG70" s="46">
        <f t="shared" si="111"/>
        <v>0</v>
      </c>
      <c r="BH70" s="24">
        <f t="shared" si="105"/>
        <v>0</v>
      </c>
      <c r="BI70" s="24">
        <f t="shared" si="106"/>
        <v>0</v>
      </c>
      <c r="BJ70" s="43">
        <f t="shared" si="88"/>
        <v>0</v>
      </c>
      <c r="BK70" s="44">
        <f t="shared" si="18"/>
        <v>0</v>
      </c>
    </row>
    <row r="71" spans="1:64" ht="12.75" customHeight="1" x14ac:dyDescent="0.2">
      <c r="A71" s="22">
        <v>67</v>
      </c>
      <c r="B71" s="23" t="s">
        <v>443</v>
      </c>
      <c r="C71" s="58" t="s">
        <v>444</v>
      </c>
      <c r="D71" s="51" t="str">
        <f t="shared" si="0"/>
        <v>Wiederkehr Remy</v>
      </c>
      <c r="E71" s="51" t="str">
        <f t="shared" ref="E71" si="112">$G71&amp;" ("&amp;D71&amp;")"</f>
        <v>011511 (Wiederkehr Remy)</v>
      </c>
      <c r="F71" s="51" t="e">
        <f>VLOOKUP($E71,#REF!,1,0)</f>
        <v>#REF!</v>
      </c>
      <c r="G71" s="171" t="s">
        <v>445</v>
      </c>
      <c r="H71" s="61">
        <v>41118</v>
      </c>
      <c r="I71" s="62">
        <f t="shared" si="102"/>
        <v>2012</v>
      </c>
      <c r="J71" s="63" t="str">
        <f t="shared" ref="J71" si="113">IF(YEAR($K$1)-I71&lt;=14,"JJ",IF(YEAR($K$1)-I71&lt;=20,"J",IF(YEAR($K$1)-I71&gt;=70,"SV",IF(YEAR($K$1)-I71&gt;=60,"V",""))))</f>
        <v>JJ</v>
      </c>
      <c r="K71" s="23" t="s">
        <v>446</v>
      </c>
      <c r="L71" s="23">
        <v>8254</v>
      </c>
      <c r="M71" s="23" t="s">
        <v>37</v>
      </c>
      <c r="N71" s="23"/>
      <c r="O71" s="23"/>
      <c r="P71" s="56"/>
      <c r="Q71" s="40">
        <v>90</v>
      </c>
      <c r="R71" s="64"/>
      <c r="S71" s="80"/>
      <c r="T71" s="23"/>
      <c r="U71" s="23"/>
      <c r="V71" s="23"/>
      <c r="W71" s="23"/>
      <c r="X71" s="23"/>
      <c r="Y71" s="23"/>
      <c r="Z71" s="16"/>
      <c r="AA71" s="39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29"/>
      <c r="AR71" s="24">
        <f>AA71*AA$4</f>
        <v>0</v>
      </c>
      <c r="AS71" s="24">
        <f>AB71*AB$4</f>
        <v>0</v>
      </c>
      <c r="AT71" s="24">
        <f t="shared" si="110"/>
        <v>0</v>
      </c>
      <c r="AU71" s="24">
        <f t="shared" si="110"/>
        <v>0</v>
      </c>
      <c r="AV71" s="24">
        <f t="shared" si="110"/>
        <v>0</v>
      </c>
      <c r="AW71" s="24">
        <f t="shared" si="110"/>
        <v>0</v>
      </c>
      <c r="AX71" s="24">
        <f t="shared" si="110"/>
        <v>0</v>
      </c>
      <c r="AY71" s="24">
        <f t="shared" si="110"/>
        <v>0</v>
      </c>
      <c r="AZ71" s="24">
        <f t="shared" si="110"/>
        <v>0</v>
      </c>
      <c r="BA71" s="24">
        <f t="shared" si="111"/>
        <v>0</v>
      </c>
      <c r="BB71" s="24">
        <f t="shared" si="111"/>
        <v>0</v>
      </c>
      <c r="BC71" s="24">
        <f t="shared" si="111"/>
        <v>0</v>
      </c>
      <c r="BD71" s="24">
        <f t="shared" si="111"/>
        <v>0</v>
      </c>
      <c r="BE71" s="24">
        <f t="shared" si="111"/>
        <v>0</v>
      </c>
      <c r="BF71" s="24">
        <f t="shared" si="111"/>
        <v>0</v>
      </c>
      <c r="BG71" s="46">
        <f t="shared" si="111"/>
        <v>0</v>
      </c>
      <c r="BH71" s="24">
        <f t="shared" si="105"/>
        <v>0</v>
      </c>
      <c r="BI71" s="24">
        <f t="shared" si="106"/>
        <v>0</v>
      </c>
      <c r="BJ71" s="43">
        <f t="shared" si="88"/>
        <v>0</v>
      </c>
      <c r="BK71" s="44">
        <f t="shared" si="18"/>
        <v>0</v>
      </c>
    </row>
    <row r="72" spans="1:64" ht="12.75" customHeight="1" x14ac:dyDescent="0.2">
      <c r="A72" s="22">
        <v>68</v>
      </c>
      <c r="B72" s="23" t="s">
        <v>35</v>
      </c>
      <c r="C72" s="58" t="s">
        <v>87</v>
      </c>
      <c r="D72" s="51" t="str">
        <f t="shared" si="0"/>
        <v>Zahn Maya</v>
      </c>
      <c r="E72" s="51" t="str">
        <f>$G72&amp;" ("&amp;D72&amp;")"</f>
        <v>972358 (Zahn Maya)</v>
      </c>
      <c r="F72" s="51" t="e">
        <f>VLOOKUP($E72,#REF!,1,0)</f>
        <v>#REF!</v>
      </c>
      <c r="G72" s="177">
        <v>972358</v>
      </c>
      <c r="H72" s="53">
        <v>23574</v>
      </c>
      <c r="I72" s="54">
        <f>YEAR(H72)</f>
        <v>1964</v>
      </c>
      <c r="J72" s="59" t="str">
        <f>IF(YEAR($K$1)-I72&lt;=14,"JJ",IF(YEAR($K$1)-I72&lt;=20,"J",IF(YEAR($K$1)-I72&gt;=70,"SV",IF(YEAR($K$1)-I72&gt;=60,"V",""))))</f>
        <v>V</v>
      </c>
      <c r="K72" s="157" t="s">
        <v>88</v>
      </c>
      <c r="L72" s="65">
        <v>8254</v>
      </c>
      <c r="M72" s="157" t="s">
        <v>37</v>
      </c>
      <c r="N72" s="23" t="s">
        <v>389</v>
      </c>
      <c r="O72" s="23" t="s">
        <v>390</v>
      </c>
      <c r="P72" s="56" t="s">
        <v>391</v>
      </c>
      <c r="Q72" s="15">
        <v>90</v>
      </c>
      <c r="R72" s="57"/>
      <c r="S72" s="80"/>
      <c r="T72" s="23"/>
      <c r="U72" s="23"/>
      <c r="V72" s="23"/>
      <c r="W72" s="23"/>
      <c r="X72" s="23"/>
      <c r="Y72" s="23"/>
      <c r="Z72" s="16"/>
      <c r="AA72" s="39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29"/>
      <c r="AR72" s="24">
        <f t="shared" ref="AR72:BG72" si="114">AA72*AA$4</f>
        <v>0</v>
      </c>
      <c r="AS72" s="24">
        <f t="shared" si="114"/>
        <v>0</v>
      </c>
      <c r="AT72" s="24">
        <f t="shared" si="114"/>
        <v>0</v>
      </c>
      <c r="AU72" s="24">
        <f t="shared" si="114"/>
        <v>0</v>
      </c>
      <c r="AV72" s="24">
        <f t="shared" si="114"/>
        <v>0</v>
      </c>
      <c r="AW72" s="24">
        <f t="shared" si="114"/>
        <v>0</v>
      </c>
      <c r="AX72" s="24">
        <f t="shared" si="114"/>
        <v>0</v>
      </c>
      <c r="AY72" s="24">
        <f t="shared" si="114"/>
        <v>0</v>
      </c>
      <c r="AZ72" s="24">
        <f t="shared" si="114"/>
        <v>0</v>
      </c>
      <c r="BA72" s="24">
        <f t="shared" si="114"/>
        <v>0</v>
      </c>
      <c r="BB72" s="24">
        <f t="shared" si="114"/>
        <v>0</v>
      </c>
      <c r="BC72" s="24">
        <f t="shared" si="114"/>
        <v>0</v>
      </c>
      <c r="BD72" s="24">
        <f t="shared" si="114"/>
        <v>0</v>
      </c>
      <c r="BE72" s="24">
        <f t="shared" si="114"/>
        <v>0</v>
      </c>
      <c r="BF72" s="24">
        <f t="shared" si="114"/>
        <v>0</v>
      </c>
      <c r="BG72" s="46">
        <f t="shared" si="114"/>
        <v>0</v>
      </c>
      <c r="BH72" s="24">
        <f t="shared" si="105"/>
        <v>0</v>
      </c>
      <c r="BI72" s="24">
        <f>SUM(AR72:BG72)</f>
        <v>0</v>
      </c>
      <c r="BJ72" s="43">
        <f t="shared" si="88"/>
        <v>0</v>
      </c>
      <c r="BK72" s="44">
        <f t="shared" si="18"/>
        <v>0</v>
      </c>
    </row>
    <row r="73" spans="1:64" ht="12.75" customHeight="1" x14ac:dyDescent="0.2">
      <c r="A73" s="22">
        <v>69</v>
      </c>
      <c r="B73" s="50" t="s">
        <v>35</v>
      </c>
      <c r="C73" s="50" t="s">
        <v>14</v>
      </c>
      <c r="D73" s="50" t="str">
        <f t="shared" si="0"/>
        <v>Zahn Urs</v>
      </c>
      <c r="E73" s="50" t="str">
        <f t="shared" si="20"/>
        <v>160614 (Zahn Urs)</v>
      </c>
      <c r="F73" s="50" t="e">
        <f>VLOOKUP($E73,#REF!,1,0)</f>
        <v>#REF!</v>
      </c>
      <c r="G73" s="137">
        <v>160614</v>
      </c>
      <c r="H73" s="73">
        <v>22366</v>
      </c>
      <c r="I73" s="74">
        <f>YEAR(H73)</f>
        <v>1961</v>
      </c>
      <c r="J73" s="75" t="str">
        <f t="shared" si="49"/>
        <v>V</v>
      </c>
      <c r="K73" s="50" t="s">
        <v>36</v>
      </c>
      <c r="L73" s="50">
        <v>8254</v>
      </c>
      <c r="M73" s="50" t="s">
        <v>37</v>
      </c>
      <c r="N73" s="50" t="s">
        <v>322</v>
      </c>
      <c r="O73" s="50" t="s">
        <v>38</v>
      </c>
      <c r="P73" s="136" t="s">
        <v>136</v>
      </c>
      <c r="Q73" s="137" t="s">
        <v>29</v>
      </c>
      <c r="R73" s="155">
        <v>3</v>
      </c>
      <c r="S73" s="58" t="s">
        <v>365</v>
      </c>
      <c r="T73" s="64"/>
      <c r="U73" s="64"/>
      <c r="V73" s="23"/>
      <c r="W73" s="23">
        <v>1</v>
      </c>
      <c r="X73" s="23">
        <v>1</v>
      </c>
      <c r="Y73" s="184"/>
      <c r="Z73" s="16"/>
      <c r="AA73" s="39">
        <v>4</v>
      </c>
      <c r="AB73" s="40">
        <v>1</v>
      </c>
      <c r="AC73" s="40">
        <v>1</v>
      </c>
      <c r="AD73" s="40">
        <v>1</v>
      </c>
      <c r="AE73" s="40"/>
      <c r="AF73" s="40">
        <v>1</v>
      </c>
      <c r="AG73" s="40">
        <v>1</v>
      </c>
      <c r="AH73" s="40">
        <v>1</v>
      </c>
      <c r="AI73" s="40"/>
      <c r="AJ73" s="40"/>
      <c r="AK73" s="40">
        <v>1</v>
      </c>
      <c r="AL73" s="40">
        <v>1</v>
      </c>
      <c r="AM73" s="40"/>
      <c r="AN73" s="40">
        <v>10</v>
      </c>
      <c r="AO73" s="40"/>
      <c r="AP73" s="40">
        <v>1</v>
      </c>
      <c r="AQ73" s="183" t="s">
        <v>27</v>
      </c>
      <c r="AR73" s="24">
        <f t="shared" si="23"/>
        <v>20</v>
      </c>
      <c r="AS73" s="24">
        <f t="shared" si="24"/>
        <v>10</v>
      </c>
      <c r="AT73" s="24">
        <f t="shared" si="25"/>
        <v>5</v>
      </c>
      <c r="AU73" s="24">
        <f t="shared" si="26"/>
        <v>4</v>
      </c>
      <c r="AV73" s="24">
        <f t="shared" si="26"/>
        <v>0</v>
      </c>
      <c r="AW73" s="24">
        <f t="shared" si="27"/>
        <v>6</v>
      </c>
      <c r="AX73" s="24">
        <f t="shared" si="28"/>
        <v>6</v>
      </c>
      <c r="AY73" s="24">
        <f t="shared" si="29"/>
        <v>6</v>
      </c>
      <c r="AZ73" s="24">
        <f t="shared" si="29"/>
        <v>0</v>
      </c>
      <c r="BA73" s="24">
        <f t="shared" si="50"/>
        <v>0</v>
      </c>
      <c r="BB73" s="24">
        <f t="shared" si="51"/>
        <v>3</v>
      </c>
      <c r="BC73" s="24">
        <f t="shared" si="52"/>
        <v>5</v>
      </c>
      <c r="BD73" s="24">
        <f t="shared" si="53"/>
        <v>0</v>
      </c>
      <c r="BE73" s="24">
        <f t="shared" si="54"/>
        <v>20</v>
      </c>
      <c r="BF73" s="24">
        <f t="shared" si="55"/>
        <v>0</v>
      </c>
      <c r="BG73" s="46">
        <f t="shared" si="56"/>
        <v>60</v>
      </c>
      <c r="BH73" s="24">
        <f t="shared" si="105"/>
        <v>85</v>
      </c>
      <c r="BI73" s="24">
        <f>SUM(AR73:BG73)</f>
        <v>145</v>
      </c>
      <c r="BJ73" s="43">
        <f t="shared" si="88"/>
        <v>10</v>
      </c>
      <c r="BK73" s="44">
        <f t="shared" si="18"/>
        <v>5</v>
      </c>
    </row>
    <row r="74" spans="1:64" x14ac:dyDescent="0.2">
      <c r="A74" s="51"/>
      <c r="B74" s="22"/>
      <c r="C74" s="51"/>
      <c r="D74" s="51"/>
      <c r="E74" s="51"/>
      <c r="F74" s="51"/>
      <c r="G74" s="177"/>
      <c r="H74" s="53"/>
      <c r="I74" s="54"/>
      <c r="J74" s="59"/>
      <c r="K74" s="22"/>
      <c r="L74" s="22"/>
      <c r="M74" s="22"/>
      <c r="N74" s="22"/>
      <c r="O74" s="50"/>
      <c r="P74" s="136"/>
      <c r="Q74" s="137"/>
      <c r="R74" s="138"/>
      <c r="S74" s="68"/>
      <c r="T74" s="70"/>
      <c r="U74" s="70"/>
      <c r="V74" s="68"/>
      <c r="W74" s="71"/>
      <c r="X74" s="71"/>
      <c r="Y74" s="71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6"/>
      <c r="BK74" s="76"/>
    </row>
    <row r="75" spans="1:64" ht="13.5" thickBot="1" x14ac:dyDescent="0.25">
      <c r="C75" s="5"/>
      <c r="D75" s="5"/>
      <c r="E75" s="5"/>
      <c r="F75" s="5"/>
      <c r="G75" s="26"/>
      <c r="J75" s="33">
        <f t="shared" ref="J75:J82" si="115">H75</f>
        <v>0</v>
      </c>
      <c r="O75" s="105" t="s">
        <v>19</v>
      </c>
      <c r="P75" s="109" t="s">
        <v>282</v>
      </c>
      <c r="Q75" s="107">
        <f>COUNTIF($Q$8:$Q$73,"57/02")</f>
        <v>1</v>
      </c>
      <c r="R75" s="111">
        <f>COUNTIF($R$8:$R$73,0)</f>
        <v>0</v>
      </c>
      <c r="S75" s="112" t="s">
        <v>21</v>
      </c>
      <c r="T75" s="49"/>
      <c r="U75" s="49"/>
      <c r="V75" s="52"/>
      <c r="W75" s="115">
        <f>COUNTIFS($S$6:$S$73,TEXT($S75,),$W$6:$W$73,1)</f>
        <v>1</v>
      </c>
      <c r="X75" s="116">
        <f>COUNTIFS($S$6:$S$73,TEXT($S75,),$X$6:$X$73,1)</f>
        <v>1</v>
      </c>
      <c r="Y75" s="47" t="s">
        <v>360</v>
      </c>
      <c r="Z75" s="21">
        <f t="shared" ref="Z75:AP75" si="116">SUM(Z$8:Z$73)</f>
        <v>0</v>
      </c>
      <c r="AA75" s="10">
        <f t="shared" si="116"/>
        <v>42</v>
      </c>
      <c r="AB75" s="11">
        <f t="shared" si="116"/>
        <v>15</v>
      </c>
      <c r="AC75" s="154">
        <f t="shared" si="116"/>
        <v>10</v>
      </c>
      <c r="AD75" s="11">
        <f t="shared" si="116"/>
        <v>2</v>
      </c>
      <c r="AE75" s="11">
        <f t="shared" si="116"/>
        <v>0</v>
      </c>
      <c r="AF75" s="11">
        <f t="shared" si="116"/>
        <v>15</v>
      </c>
      <c r="AG75" s="11">
        <f t="shared" si="116"/>
        <v>10</v>
      </c>
      <c r="AH75" s="11">
        <f t="shared" si="116"/>
        <v>15</v>
      </c>
      <c r="AI75" s="11">
        <f t="shared" si="116"/>
        <v>7</v>
      </c>
      <c r="AJ75" s="11">
        <f t="shared" si="116"/>
        <v>0</v>
      </c>
      <c r="AK75" s="11">
        <f t="shared" si="116"/>
        <v>7</v>
      </c>
      <c r="AL75" s="11">
        <f t="shared" si="116"/>
        <v>8</v>
      </c>
      <c r="AM75" s="11">
        <f t="shared" si="116"/>
        <v>0</v>
      </c>
      <c r="AN75" s="11">
        <f t="shared" si="116"/>
        <v>59</v>
      </c>
      <c r="AO75" s="11">
        <f t="shared" si="116"/>
        <v>3</v>
      </c>
      <c r="AP75" s="11">
        <f t="shared" si="116"/>
        <v>3</v>
      </c>
      <c r="AQ75" s="21">
        <f>COUNTIF($AQ$8:$AQ$73,"x")+COUNTIF($AQ$8:$AQ$73,"x1")+COUNTIF($AQ$8:$AQ$73,"x2")+COUNTIF($AQ$8:$AQ$73,"x3")+COUNTIF($AQ$8:$AQ$73,"x4")</f>
        <v>10</v>
      </c>
      <c r="AR75" s="12">
        <f t="shared" ref="AR75:BG75" si="117">AA$75*AA$4</f>
        <v>210</v>
      </c>
      <c r="AS75" s="12">
        <f t="shared" si="117"/>
        <v>150</v>
      </c>
      <c r="AT75" s="12">
        <f t="shared" si="117"/>
        <v>50</v>
      </c>
      <c r="AU75" s="12">
        <f t="shared" si="117"/>
        <v>8</v>
      </c>
      <c r="AV75" s="12">
        <f t="shared" si="117"/>
        <v>0</v>
      </c>
      <c r="AW75" s="12">
        <f t="shared" si="117"/>
        <v>90</v>
      </c>
      <c r="AX75" s="12">
        <f t="shared" si="117"/>
        <v>60</v>
      </c>
      <c r="AY75" s="12">
        <f t="shared" si="117"/>
        <v>90</v>
      </c>
      <c r="AZ75" s="12">
        <f t="shared" si="117"/>
        <v>42</v>
      </c>
      <c r="BA75" s="12">
        <f t="shared" si="117"/>
        <v>0</v>
      </c>
      <c r="BB75" s="12">
        <f t="shared" si="117"/>
        <v>21</v>
      </c>
      <c r="BC75" s="12">
        <f t="shared" si="117"/>
        <v>40</v>
      </c>
      <c r="BD75" s="12">
        <f t="shared" si="117"/>
        <v>0</v>
      </c>
      <c r="BE75" s="12">
        <f t="shared" si="117"/>
        <v>118</v>
      </c>
      <c r="BF75" s="12">
        <f t="shared" si="117"/>
        <v>180</v>
      </c>
      <c r="BG75" s="12">
        <f t="shared" si="117"/>
        <v>180</v>
      </c>
      <c r="BH75" s="38">
        <f>SUM(BH$8:BH$73)</f>
        <v>879</v>
      </c>
      <c r="BI75" s="37">
        <f>SUM(BI$8:BI$73)</f>
        <v>1239</v>
      </c>
      <c r="BJ75" s="38">
        <f>SUM(BJ$8:BJ$73)</f>
        <v>79</v>
      </c>
      <c r="BK75" s="37">
        <f>SUM(BK$8:BK$73)</f>
        <v>27</v>
      </c>
    </row>
    <row r="76" spans="1:64" x14ac:dyDescent="0.2">
      <c r="C76" s="5"/>
      <c r="D76" s="5"/>
      <c r="E76" s="5"/>
      <c r="F76" s="5"/>
      <c r="G76" s="26"/>
      <c r="J76" s="33">
        <f t="shared" si="115"/>
        <v>0</v>
      </c>
      <c r="O76" s="106" t="s">
        <v>20</v>
      </c>
      <c r="P76" s="110" t="s">
        <v>295</v>
      </c>
      <c r="Q76" s="108">
        <f>COUNTIF($Q$8:$Q$73,"57/03")</f>
        <v>16</v>
      </c>
      <c r="R76" s="141">
        <f>COUNTIF($R$8:$R$73,1)</f>
        <v>0</v>
      </c>
      <c r="S76" s="113" t="s">
        <v>22</v>
      </c>
      <c r="T76" s="49"/>
      <c r="U76" s="49"/>
      <c r="V76" s="5"/>
      <c r="W76" s="117">
        <f t="shared" ref="W76:W83" si="118">COUNTIFS($S$6:$S$73,TEXT($S76,),$W$6:$W$73,1)</f>
        <v>2</v>
      </c>
      <c r="X76" s="118">
        <f t="shared" ref="X76:X83" si="119">COUNTIFS($S$6:$S$73,TEXT($S76,),$X$6:$X$73,1)</f>
        <v>2</v>
      </c>
      <c r="Y76" s="132" t="s">
        <v>361</v>
      </c>
      <c r="Z76" s="26"/>
      <c r="AA76" s="25"/>
      <c r="AQ76" s="26"/>
      <c r="AR76" s="27">
        <f t="shared" si="23"/>
        <v>0</v>
      </c>
      <c r="AS76" s="27">
        <f t="shared" ref="AS76:AS82" si="120">AB76*AB$4</f>
        <v>0</v>
      </c>
      <c r="AT76" s="27">
        <f t="shared" si="25"/>
        <v>0</v>
      </c>
      <c r="AU76" s="27">
        <f t="shared" si="26"/>
        <v>0</v>
      </c>
      <c r="AV76" s="27">
        <f t="shared" si="26"/>
        <v>0</v>
      </c>
      <c r="AW76" s="27">
        <f t="shared" si="27"/>
        <v>0</v>
      </c>
      <c r="AX76" s="27">
        <f t="shared" ref="AX76:AX82" si="121">AH76*AH$4</f>
        <v>0</v>
      </c>
      <c r="AY76" s="27">
        <f t="shared" ref="AY76:AZ82" si="122">AG76*AG$4</f>
        <v>0</v>
      </c>
      <c r="AZ76" s="27">
        <f t="shared" si="122"/>
        <v>0</v>
      </c>
      <c r="BA76" s="27">
        <f t="shared" ref="BA76:BA82" si="123">AJ76*AJ$4</f>
        <v>0</v>
      </c>
      <c r="BB76" s="27">
        <f t="shared" ref="BB76:BB82" si="124">AK76*AK$4</f>
        <v>0</v>
      </c>
      <c r="BC76" s="27">
        <f t="shared" ref="BC76:BC82" si="125">AL76*AL$4</f>
        <v>0</v>
      </c>
      <c r="BD76" s="27">
        <f t="shared" ref="BD76:BD82" si="126">AM76*AM$4</f>
        <v>0</v>
      </c>
      <c r="BE76" s="27">
        <f t="shared" ref="BE76:BE82" si="127">AN76*AN$4</f>
        <v>0</v>
      </c>
      <c r="BF76" s="27">
        <f t="shared" ref="BF76:BG82" si="128">AO76*AO$4</f>
        <v>0</v>
      </c>
      <c r="BG76" s="27">
        <f t="shared" si="128"/>
        <v>0</v>
      </c>
      <c r="BH76" s="27">
        <f t="shared" ref="BH76:BH82" si="129">SUM(AR76:BE76)</f>
        <v>0</v>
      </c>
      <c r="BI76" s="27">
        <f t="shared" ref="BI76:BI82" si="130">SUM(AR76:BF76)</f>
        <v>0</v>
      </c>
      <c r="BJ76" s="28">
        <f t="shared" ref="BJ76:BJ82" si="131">ROUNDUP(BF76/20,0)+AB76*5+AP76*4</f>
        <v>0</v>
      </c>
      <c r="BK76" s="28">
        <f t="shared" ref="BK76:BK82" si="132">ROUNDUP(BH76/20,0)+AP76*5+AO76*4</f>
        <v>0</v>
      </c>
      <c r="BL76" s="5"/>
    </row>
    <row r="77" spans="1:64" x14ac:dyDescent="0.2">
      <c r="C77" s="5"/>
      <c r="D77" s="5"/>
      <c r="E77" s="5"/>
      <c r="F77" s="5"/>
      <c r="G77" s="26"/>
      <c r="J77" s="33">
        <f t="shared" si="115"/>
        <v>0</v>
      </c>
      <c r="O77" s="106">
        <v>90</v>
      </c>
      <c r="P77" s="110" t="s">
        <v>281</v>
      </c>
      <c r="Q77" s="108">
        <f>COUNTIF($Q$8:$Q$73,"90")</f>
        <v>43</v>
      </c>
      <c r="R77" s="141">
        <f>COUNTIF($R$8:$R$73,2)</f>
        <v>9</v>
      </c>
      <c r="S77" s="113" t="s">
        <v>126</v>
      </c>
      <c r="T77" s="49"/>
      <c r="U77" s="49"/>
      <c r="V77" s="5"/>
      <c r="W77" s="117">
        <f t="shared" si="118"/>
        <v>0</v>
      </c>
      <c r="X77" s="118">
        <f t="shared" si="119"/>
        <v>0</v>
      </c>
      <c r="Y77" s="48" t="s">
        <v>362</v>
      </c>
      <c r="Z77" s="26"/>
      <c r="AA77" s="26"/>
      <c r="AQ77" s="26"/>
      <c r="AR77" s="27">
        <f t="shared" si="23"/>
        <v>0</v>
      </c>
      <c r="AS77" s="27">
        <f t="shared" si="120"/>
        <v>0</v>
      </c>
      <c r="AT77" s="27">
        <f t="shared" si="25"/>
        <v>0</v>
      </c>
      <c r="AU77" s="27">
        <f t="shared" si="26"/>
        <v>0</v>
      </c>
      <c r="AV77" s="27">
        <f t="shared" si="26"/>
        <v>0</v>
      </c>
      <c r="AW77" s="27">
        <f t="shared" si="27"/>
        <v>0</v>
      </c>
      <c r="AX77" s="27">
        <f t="shared" si="121"/>
        <v>0</v>
      </c>
      <c r="AY77" s="27">
        <f t="shared" si="122"/>
        <v>0</v>
      </c>
      <c r="AZ77" s="27">
        <f t="shared" si="122"/>
        <v>0</v>
      </c>
      <c r="BA77" s="27">
        <f t="shared" si="123"/>
        <v>0</v>
      </c>
      <c r="BB77" s="27">
        <f t="shared" si="124"/>
        <v>0</v>
      </c>
      <c r="BC77" s="27">
        <f t="shared" si="125"/>
        <v>0</v>
      </c>
      <c r="BD77" s="27">
        <f t="shared" si="126"/>
        <v>0</v>
      </c>
      <c r="BE77" s="27">
        <f t="shared" si="127"/>
        <v>0</v>
      </c>
      <c r="BF77" s="27">
        <f t="shared" si="128"/>
        <v>0</v>
      </c>
      <c r="BG77" s="27">
        <f t="shared" si="128"/>
        <v>0</v>
      </c>
      <c r="BH77" s="27">
        <f t="shared" si="129"/>
        <v>0</v>
      </c>
      <c r="BI77" s="27">
        <f t="shared" si="130"/>
        <v>0</v>
      </c>
      <c r="BJ77" s="28">
        <f t="shared" si="131"/>
        <v>0</v>
      </c>
      <c r="BK77" s="28">
        <f t="shared" si="132"/>
        <v>0</v>
      </c>
      <c r="BL77" s="5"/>
    </row>
    <row r="78" spans="1:64" x14ac:dyDescent="0.2">
      <c r="C78" s="5"/>
      <c r="D78" s="5"/>
      <c r="E78" s="5"/>
      <c r="F78" s="5"/>
      <c r="G78" s="26"/>
      <c r="J78" s="33">
        <f t="shared" si="115"/>
        <v>0</v>
      </c>
      <c r="O78" s="106" t="s">
        <v>29</v>
      </c>
      <c r="P78" s="110" t="s">
        <v>284</v>
      </c>
      <c r="Q78" s="108">
        <f>COUNTIF($Q$8:$Q$73,"Kar")</f>
        <v>4</v>
      </c>
      <c r="R78" s="141">
        <f>COUNTIF($R$8:$R$73,3)</f>
        <v>15</v>
      </c>
      <c r="S78" s="114" t="s">
        <v>365</v>
      </c>
      <c r="T78" s="49"/>
      <c r="U78" s="49"/>
      <c r="V78" s="5"/>
      <c r="W78" s="117">
        <f t="shared" si="118"/>
        <v>11</v>
      </c>
      <c r="X78" s="118">
        <f t="shared" si="119"/>
        <v>11</v>
      </c>
      <c r="Y78" s="48" t="s">
        <v>363</v>
      </c>
      <c r="Z78" s="26"/>
      <c r="AA78" s="26"/>
      <c r="AQ78" s="26"/>
      <c r="AR78" s="27">
        <f t="shared" si="23"/>
        <v>0</v>
      </c>
      <c r="AS78" s="27">
        <f t="shared" si="120"/>
        <v>0</v>
      </c>
      <c r="AT78" s="27">
        <f t="shared" si="25"/>
        <v>0</v>
      </c>
      <c r="AU78" s="27">
        <f t="shared" si="26"/>
        <v>0</v>
      </c>
      <c r="AV78" s="27">
        <f t="shared" si="26"/>
        <v>0</v>
      </c>
      <c r="AW78" s="27">
        <f t="shared" si="27"/>
        <v>0</v>
      </c>
      <c r="AX78" s="27">
        <f t="shared" si="121"/>
        <v>0</v>
      </c>
      <c r="AY78" s="27">
        <f t="shared" si="122"/>
        <v>0</v>
      </c>
      <c r="AZ78" s="27">
        <f t="shared" si="122"/>
        <v>0</v>
      </c>
      <c r="BA78" s="27">
        <f t="shared" si="123"/>
        <v>0</v>
      </c>
      <c r="BB78" s="27">
        <f t="shared" si="124"/>
        <v>0</v>
      </c>
      <c r="BC78" s="27">
        <f t="shared" si="125"/>
        <v>0</v>
      </c>
      <c r="BD78" s="27">
        <f t="shared" si="126"/>
        <v>0</v>
      </c>
      <c r="BE78" s="27">
        <f t="shared" si="127"/>
        <v>0</v>
      </c>
      <c r="BF78" s="27">
        <f t="shared" si="128"/>
        <v>0</v>
      </c>
      <c r="BG78" s="27">
        <f t="shared" si="128"/>
        <v>0</v>
      </c>
      <c r="BH78" s="27">
        <f t="shared" si="129"/>
        <v>0</v>
      </c>
      <c r="BI78" s="27">
        <f t="shared" si="130"/>
        <v>0</v>
      </c>
      <c r="BJ78" s="28">
        <f t="shared" si="131"/>
        <v>0</v>
      </c>
      <c r="BK78" s="28">
        <f t="shared" si="132"/>
        <v>0</v>
      </c>
      <c r="BL78" s="5"/>
    </row>
    <row r="79" spans="1:64" x14ac:dyDescent="0.2">
      <c r="C79" s="5"/>
      <c r="D79" s="5"/>
      <c r="E79" s="5"/>
      <c r="F79" s="5"/>
      <c r="G79" s="26"/>
      <c r="J79" s="33">
        <f t="shared" si="115"/>
        <v>0</v>
      </c>
      <c r="O79" s="106" t="s">
        <v>134</v>
      </c>
      <c r="P79" s="110" t="s">
        <v>283</v>
      </c>
      <c r="Q79" s="108">
        <f>COUNTIF($Q$8:$Q$73,"Stagw")</f>
        <v>1</v>
      </c>
      <c r="R79" s="141">
        <f>COUNTIF($R$8:$R$73,4)</f>
        <v>0</v>
      </c>
      <c r="S79" s="114" t="s">
        <v>385</v>
      </c>
      <c r="T79" s="49"/>
      <c r="U79" s="49"/>
      <c r="V79" s="5"/>
      <c r="W79" s="117">
        <f t="shared" si="118"/>
        <v>0</v>
      </c>
      <c r="X79" s="118">
        <f t="shared" si="119"/>
        <v>0</v>
      </c>
      <c r="Y79" s="48"/>
      <c r="Z79" s="26"/>
      <c r="AA79" s="26"/>
      <c r="AQ79" s="26"/>
      <c r="AR79" s="27">
        <f t="shared" si="23"/>
        <v>0</v>
      </c>
      <c r="AS79" s="27">
        <f t="shared" si="120"/>
        <v>0</v>
      </c>
      <c r="AT79" s="27">
        <f t="shared" si="25"/>
        <v>0</v>
      </c>
      <c r="AU79" s="27">
        <f t="shared" si="26"/>
        <v>0</v>
      </c>
      <c r="AV79" s="27">
        <f t="shared" si="26"/>
        <v>0</v>
      </c>
      <c r="AW79" s="27">
        <f t="shared" si="27"/>
        <v>0</v>
      </c>
      <c r="AX79" s="27">
        <f t="shared" si="121"/>
        <v>0</v>
      </c>
      <c r="AY79" s="27">
        <f t="shared" si="122"/>
        <v>0</v>
      </c>
      <c r="AZ79" s="27">
        <f t="shared" si="122"/>
        <v>0</v>
      </c>
      <c r="BA79" s="27">
        <f t="shared" si="123"/>
        <v>0</v>
      </c>
      <c r="BB79" s="27">
        <f t="shared" si="124"/>
        <v>0</v>
      </c>
      <c r="BC79" s="27">
        <f t="shared" si="125"/>
        <v>0</v>
      </c>
      <c r="BD79" s="27">
        <f t="shared" si="126"/>
        <v>0</v>
      </c>
      <c r="BE79" s="27">
        <f t="shared" si="127"/>
        <v>0</v>
      </c>
      <c r="BF79" s="27">
        <f t="shared" si="128"/>
        <v>0</v>
      </c>
      <c r="BG79" s="27">
        <f t="shared" si="128"/>
        <v>0</v>
      </c>
      <c r="BH79" s="27">
        <f t="shared" si="129"/>
        <v>0</v>
      </c>
      <c r="BI79" s="27">
        <f t="shared" si="130"/>
        <v>0</v>
      </c>
      <c r="BJ79" s="28">
        <f t="shared" si="131"/>
        <v>0</v>
      </c>
      <c r="BK79" s="28">
        <f t="shared" si="132"/>
        <v>0</v>
      </c>
      <c r="BL79" s="5"/>
    </row>
    <row r="80" spans="1:64" x14ac:dyDescent="0.2">
      <c r="C80" s="5"/>
      <c r="D80" s="5"/>
      <c r="E80" s="5"/>
      <c r="F80" s="5"/>
      <c r="G80" s="26"/>
      <c r="J80" s="33">
        <f t="shared" si="115"/>
        <v>0</v>
      </c>
      <c r="Q80" s="7"/>
      <c r="R80" s="142"/>
      <c r="S80" s="114" t="s">
        <v>155</v>
      </c>
      <c r="T80" s="140"/>
      <c r="U80" s="140"/>
      <c r="V80" s="30"/>
      <c r="W80" s="117">
        <f t="shared" si="118"/>
        <v>0</v>
      </c>
      <c r="X80" s="118">
        <f t="shared" si="119"/>
        <v>0</v>
      </c>
      <c r="Y80" s="48"/>
      <c r="Z80" s="26"/>
      <c r="AA80" s="26"/>
      <c r="AQ80" s="26"/>
      <c r="AR80" s="27">
        <f t="shared" si="23"/>
        <v>0</v>
      </c>
      <c r="AS80" s="27">
        <f t="shared" si="120"/>
        <v>0</v>
      </c>
      <c r="AT80" s="27">
        <f t="shared" si="25"/>
        <v>0</v>
      </c>
      <c r="AU80" s="27">
        <f t="shared" si="26"/>
        <v>0</v>
      </c>
      <c r="AV80" s="27">
        <f t="shared" si="26"/>
        <v>0</v>
      </c>
      <c r="AW80" s="27">
        <f t="shared" si="27"/>
        <v>0</v>
      </c>
      <c r="AX80" s="27">
        <f t="shared" si="121"/>
        <v>0</v>
      </c>
      <c r="AY80" s="27">
        <f t="shared" si="122"/>
        <v>0</v>
      </c>
      <c r="AZ80" s="27">
        <f t="shared" si="122"/>
        <v>0</v>
      </c>
      <c r="BA80" s="27">
        <f t="shared" si="123"/>
        <v>0</v>
      </c>
      <c r="BB80" s="27">
        <f t="shared" si="124"/>
        <v>0</v>
      </c>
      <c r="BC80" s="27">
        <f t="shared" si="125"/>
        <v>0</v>
      </c>
      <c r="BD80" s="27">
        <f t="shared" si="126"/>
        <v>0</v>
      </c>
      <c r="BE80" s="27">
        <f t="shared" si="127"/>
        <v>0</v>
      </c>
      <c r="BF80" s="27">
        <f t="shared" si="128"/>
        <v>0</v>
      </c>
      <c r="BG80" s="27">
        <f t="shared" si="128"/>
        <v>0</v>
      </c>
      <c r="BH80" s="27">
        <f t="shared" si="129"/>
        <v>0</v>
      </c>
      <c r="BI80" s="27">
        <f t="shared" si="130"/>
        <v>0</v>
      </c>
      <c r="BJ80" s="28">
        <f t="shared" si="131"/>
        <v>0</v>
      </c>
      <c r="BK80" s="28">
        <f t="shared" si="132"/>
        <v>0</v>
      </c>
      <c r="BL80" s="5"/>
    </row>
    <row r="81" spans="3:64" x14ac:dyDescent="0.2">
      <c r="C81" s="5"/>
      <c r="D81" s="5"/>
      <c r="E81" s="5"/>
      <c r="F81" s="5"/>
      <c r="G81" s="26"/>
      <c r="J81" s="33">
        <f t="shared" si="115"/>
        <v>0</v>
      </c>
      <c r="Q81" s="7"/>
      <c r="R81" s="142"/>
      <c r="S81" s="114" t="s">
        <v>156</v>
      </c>
      <c r="T81" s="140"/>
      <c r="U81" s="140"/>
      <c r="V81" s="30"/>
      <c r="W81" s="117">
        <f t="shared" si="118"/>
        <v>0</v>
      </c>
      <c r="X81" s="118">
        <f t="shared" si="119"/>
        <v>0</v>
      </c>
      <c r="Y81" s="48"/>
      <c r="Z81" s="26"/>
      <c r="AA81" s="26"/>
      <c r="AQ81" s="26"/>
      <c r="AR81" s="27">
        <f t="shared" si="23"/>
        <v>0</v>
      </c>
      <c r="AS81" s="27">
        <f t="shared" si="120"/>
        <v>0</v>
      </c>
      <c r="AT81" s="27">
        <f t="shared" si="25"/>
        <v>0</v>
      </c>
      <c r="AU81" s="27">
        <f t="shared" si="26"/>
        <v>0</v>
      </c>
      <c r="AV81" s="27">
        <f t="shared" si="26"/>
        <v>0</v>
      </c>
      <c r="AW81" s="27">
        <f t="shared" si="27"/>
        <v>0</v>
      </c>
      <c r="AX81" s="27">
        <f t="shared" si="121"/>
        <v>0</v>
      </c>
      <c r="AY81" s="27">
        <f t="shared" si="122"/>
        <v>0</v>
      </c>
      <c r="AZ81" s="27">
        <f t="shared" si="122"/>
        <v>0</v>
      </c>
      <c r="BA81" s="27">
        <f t="shared" si="123"/>
        <v>0</v>
      </c>
      <c r="BB81" s="27">
        <f t="shared" si="124"/>
        <v>0</v>
      </c>
      <c r="BC81" s="27">
        <f t="shared" si="125"/>
        <v>0</v>
      </c>
      <c r="BD81" s="27">
        <f t="shared" si="126"/>
        <v>0</v>
      </c>
      <c r="BE81" s="27">
        <f t="shared" si="127"/>
        <v>0</v>
      </c>
      <c r="BF81" s="27">
        <f t="shared" si="128"/>
        <v>0</v>
      </c>
      <c r="BG81" s="27">
        <f t="shared" si="128"/>
        <v>0</v>
      </c>
      <c r="BH81" s="27">
        <f t="shared" si="129"/>
        <v>0</v>
      </c>
      <c r="BI81" s="27">
        <f t="shared" si="130"/>
        <v>0</v>
      </c>
      <c r="BJ81" s="28">
        <f t="shared" si="131"/>
        <v>0</v>
      </c>
      <c r="BK81" s="28">
        <f t="shared" si="132"/>
        <v>0</v>
      </c>
      <c r="BL81" s="5"/>
    </row>
    <row r="82" spans="3:64" ht="13.5" thickBot="1" x14ac:dyDescent="0.25">
      <c r="C82" s="5"/>
      <c r="D82" s="5"/>
      <c r="E82" s="5"/>
      <c r="F82" s="5"/>
      <c r="G82" s="26"/>
      <c r="J82" s="33">
        <f t="shared" si="115"/>
        <v>0</v>
      </c>
      <c r="Q82" s="77">
        <f>SUM(Q75:Q81)</f>
        <v>65</v>
      </c>
      <c r="R82" s="143">
        <f>COUNTIF($R$8:$R$73,"3")</f>
        <v>15</v>
      </c>
      <c r="S82" s="193" t="s">
        <v>366</v>
      </c>
      <c r="T82" s="140"/>
      <c r="U82" s="140"/>
      <c r="V82" s="30"/>
      <c r="W82" s="117">
        <f t="shared" si="118"/>
        <v>1</v>
      </c>
      <c r="X82" s="118">
        <f t="shared" si="119"/>
        <v>1</v>
      </c>
      <c r="Z82" s="26"/>
      <c r="AA82" s="26"/>
      <c r="AQ82" s="26"/>
      <c r="AR82" s="27">
        <f t="shared" si="23"/>
        <v>0</v>
      </c>
      <c r="AS82" s="27">
        <f t="shared" si="120"/>
        <v>0</v>
      </c>
      <c r="AT82" s="27">
        <f t="shared" si="25"/>
        <v>0</v>
      </c>
      <c r="AU82" s="27">
        <f t="shared" si="26"/>
        <v>0</v>
      </c>
      <c r="AV82" s="27">
        <f t="shared" si="26"/>
        <v>0</v>
      </c>
      <c r="AW82" s="27">
        <f t="shared" si="27"/>
        <v>0</v>
      </c>
      <c r="AX82" s="27">
        <f t="shared" si="121"/>
        <v>0</v>
      </c>
      <c r="AY82" s="27">
        <f t="shared" si="122"/>
        <v>0</v>
      </c>
      <c r="AZ82" s="27">
        <f t="shared" si="122"/>
        <v>0</v>
      </c>
      <c r="BA82" s="27">
        <f t="shared" si="123"/>
        <v>0</v>
      </c>
      <c r="BB82" s="27">
        <f t="shared" si="124"/>
        <v>0</v>
      </c>
      <c r="BC82" s="27">
        <f t="shared" si="125"/>
        <v>0</v>
      </c>
      <c r="BD82" s="27">
        <f t="shared" si="126"/>
        <v>0</v>
      </c>
      <c r="BE82" s="27">
        <f t="shared" si="127"/>
        <v>0</v>
      </c>
      <c r="BF82" s="27">
        <f t="shared" si="128"/>
        <v>0</v>
      </c>
      <c r="BG82" s="27">
        <f t="shared" si="128"/>
        <v>0</v>
      </c>
      <c r="BH82" s="27">
        <f t="shared" si="129"/>
        <v>0</v>
      </c>
      <c r="BI82" s="27">
        <f t="shared" si="130"/>
        <v>0</v>
      </c>
      <c r="BJ82" s="28">
        <f t="shared" si="131"/>
        <v>0</v>
      </c>
      <c r="BK82" s="28">
        <f t="shared" si="132"/>
        <v>0</v>
      </c>
      <c r="BL82" s="5"/>
    </row>
    <row r="83" spans="3:64" ht="13.5" thickTop="1" x14ac:dyDescent="0.2">
      <c r="S83" s="113" t="s">
        <v>94</v>
      </c>
      <c r="T83" s="49"/>
      <c r="U83" s="49"/>
      <c r="V83" s="5"/>
      <c r="W83" s="185">
        <f t="shared" si="118"/>
        <v>0</v>
      </c>
      <c r="X83" s="186">
        <f t="shared" si="119"/>
        <v>0</v>
      </c>
      <c r="AQ83" s="26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8"/>
      <c r="BK83" s="28"/>
      <c r="BL83" s="5"/>
    </row>
    <row r="84" spans="3:64" ht="13.5" thickBot="1" x14ac:dyDescent="0.25">
      <c r="S84" s="5"/>
      <c r="T84" s="49"/>
      <c r="U84" s="49"/>
      <c r="V84" s="5"/>
      <c r="W84" s="78">
        <f>SUM(W75:W83)</f>
        <v>15</v>
      </c>
      <c r="X84" s="79">
        <f>SUM(X75:X83)</f>
        <v>15</v>
      </c>
    </row>
    <row r="85" spans="3:64" ht="13.5" thickTop="1" x14ac:dyDescent="0.2"/>
  </sheetData>
  <autoFilter ref="B3:BK73" xr:uid="{00000000-0009-0000-0000-000000000000}"/>
  <mergeCells count="31">
    <mergeCell ref="U3:U4"/>
    <mergeCell ref="B2:R2"/>
    <mergeCell ref="S3:S4"/>
    <mergeCell ref="S2:Y2"/>
    <mergeCell ref="Q3:Q4"/>
    <mergeCell ref="O3:O4"/>
    <mergeCell ref="T3:T4"/>
    <mergeCell ref="W3:W4"/>
    <mergeCell ref="V3:V4"/>
    <mergeCell ref="B3:B4"/>
    <mergeCell ref="H3:H4"/>
    <mergeCell ref="C3:C4"/>
    <mergeCell ref="G3:G4"/>
    <mergeCell ref="D3:D4"/>
    <mergeCell ref="M3:M4"/>
    <mergeCell ref="E3:E4"/>
    <mergeCell ref="AR2:BK2"/>
    <mergeCell ref="BK3:BK4"/>
    <mergeCell ref="BJ3:BJ4"/>
    <mergeCell ref="X3:X4"/>
    <mergeCell ref="BH3:BH4"/>
    <mergeCell ref="BI3:BI4"/>
    <mergeCell ref="Y3:Y4"/>
    <mergeCell ref="AA2:AQ2"/>
    <mergeCell ref="I3:I4"/>
    <mergeCell ref="J3:J4"/>
    <mergeCell ref="K3:K4"/>
    <mergeCell ref="R3:R4"/>
    <mergeCell ref="L3:L4"/>
    <mergeCell ref="N3:N4"/>
    <mergeCell ref="P3:P4"/>
  </mergeCells>
  <phoneticPr fontId="0" type="noConversion"/>
  <conditionalFormatting sqref="B57:E59 B28:E28 G68:R68 B49:E50 B74:R74 B53:E55 G62:R66 B61:E68 B43:E44 B70:E70 B30:E32 B8:E13 B34:E40 L14:R14 B24:E24 E23 E6:R6 G23:R24 G34:R40 G8:R13 G30:R32 G70:R70 G43:R44 G53:R55 B73:E73 G73:R73 G49:R50 G28:R28 G57:R59 F7:F73 B15:E21 G15:R21">
    <cfRule type="expression" priority="373" stopIfTrue="1">
      <formula>$R6=""</formula>
    </cfRule>
    <cfRule type="expression" dxfId="188" priority="374" stopIfTrue="1">
      <formula>$R6=4</formula>
    </cfRule>
    <cfRule type="expression" dxfId="187" priority="384" stopIfTrue="1">
      <formula>$R6=3</formula>
    </cfRule>
    <cfRule type="expression" dxfId="186" priority="385" stopIfTrue="1">
      <formula>$R6=2</formula>
    </cfRule>
    <cfRule type="expression" dxfId="185" priority="386" stopIfTrue="1">
      <formula>$R6=1</formula>
    </cfRule>
    <cfRule type="expression" dxfId="184" priority="387" stopIfTrue="1">
      <formula>$R6=0</formula>
    </cfRule>
  </conditionalFormatting>
  <conditionalFormatting sqref="G59:P59 G65:P65">
    <cfRule type="expression" dxfId="183" priority="380" stopIfTrue="1">
      <formula>$R59=3</formula>
    </cfRule>
    <cfRule type="expression" dxfId="182" priority="381" stopIfTrue="1">
      <formula>$R59=2</formula>
    </cfRule>
    <cfRule type="expression" dxfId="181" priority="382" stopIfTrue="1">
      <formula>$R59=1</formula>
    </cfRule>
    <cfRule type="expression" dxfId="180" priority="383" stopIfTrue="1">
      <formula>$R59=0</formula>
    </cfRule>
  </conditionalFormatting>
  <conditionalFormatting sqref="G61:R61">
    <cfRule type="expression" priority="337" stopIfTrue="1">
      <formula>$R61=""</formula>
    </cfRule>
    <cfRule type="expression" dxfId="179" priority="338" stopIfTrue="1">
      <formula>$R61=4</formula>
    </cfRule>
    <cfRule type="expression" dxfId="178" priority="339" stopIfTrue="1">
      <formula>$R61=3</formula>
    </cfRule>
    <cfRule type="expression" dxfId="177" priority="340" stopIfTrue="1">
      <formula>$R61=2</formula>
    </cfRule>
    <cfRule type="expression" dxfId="176" priority="341" stopIfTrue="1">
      <formula>$R61=1</formula>
    </cfRule>
    <cfRule type="expression" dxfId="175" priority="342" stopIfTrue="1">
      <formula>$R61=0</formula>
    </cfRule>
  </conditionalFormatting>
  <conditionalFormatting sqref="G67:R67">
    <cfRule type="expression" priority="325" stopIfTrue="1">
      <formula>$R67=""</formula>
    </cfRule>
    <cfRule type="expression" dxfId="174" priority="326" stopIfTrue="1">
      <formula>$R67=4</formula>
    </cfRule>
    <cfRule type="expression" dxfId="173" priority="327" stopIfTrue="1">
      <formula>$R67=3</formula>
    </cfRule>
    <cfRule type="expression" dxfId="172" priority="328" stopIfTrue="1">
      <formula>$R67=2</formula>
    </cfRule>
    <cfRule type="expression" dxfId="171" priority="329" stopIfTrue="1">
      <formula>$R67=1</formula>
    </cfRule>
    <cfRule type="expression" dxfId="170" priority="330" stopIfTrue="1">
      <formula>$R67=0</formula>
    </cfRule>
  </conditionalFormatting>
  <conditionalFormatting sqref="G16:R16">
    <cfRule type="expression" priority="301" stopIfTrue="1">
      <formula>$R16=""</formula>
    </cfRule>
    <cfRule type="expression" dxfId="169" priority="302" stopIfTrue="1">
      <formula>$R16=4</formula>
    </cfRule>
    <cfRule type="expression" dxfId="168" priority="303" stopIfTrue="1">
      <formula>$R16=3</formula>
    </cfRule>
    <cfRule type="expression" dxfId="167" priority="304" stopIfTrue="1">
      <formula>$R16=2</formula>
    </cfRule>
    <cfRule type="expression" dxfId="166" priority="305" stopIfTrue="1">
      <formula>$R16=1</formula>
    </cfRule>
    <cfRule type="expression" dxfId="165" priority="306" stopIfTrue="1">
      <formula>$R16=0</formula>
    </cfRule>
  </conditionalFormatting>
  <conditionalFormatting sqref="B52:E52 G52:R52">
    <cfRule type="expression" priority="295" stopIfTrue="1">
      <formula>$R52=""</formula>
    </cfRule>
    <cfRule type="expression" dxfId="164" priority="296" stopIfTrue="1">
      <formula>$R52=4</formula>
    </cfRule>
    <cfRule type="expression" dxfId="163" priority="297" stopIfTrue="1">
      <formula>$R52=3</formula>
    </cfRule>
    <cfRule type="expression" dxfId="162" priority="298" stopIfTrue="1">
      <formula>$R52=2</formula>
    </cfRule>
    <cfRule type="expression" dxfId="161" priority="299" stopIfTrue="1">
      <formula>$R52=1</formula>
    </cfRule>
    <cfRule type="expression" dxfId="160" priority="300" stopIfTrue="1">
      <formula>$R52=0</formula>
    </cfRule>
  </conditionalFormatting>
  <conditionalFormatting sqref="B29:E29 G29:R29">
    <cfRule type="expression" priority="289" stopIfTrue="1">
      <formula>$R29=""</formula>
    </cfRule>
    <cfRule type="expression" dxfId="159" priority="290" stopIfTrue="1">
      <formula>$R29=4</formula>
    </cfRule>
    <cfRule type="expression" dxfId="158" priority="291" stopIfTrue="1">
      <formula>$R29=3</formula>
    </cfRule>
    <cfRule type="expression" dxfId="157" priority="292" stopIfTrue="1">
      <formula>$R29=2</formula>
    </cfRule>
    <cfRule type="expression" dxfId="156" priority="293" stopIfTrue="1">
      <formula>$R29=1</formula>
    </cfRule>
    <cfRule type="expression" dxfId="155" priority="294" stopIfTrue="1">
      <formula>$R29=0</formula>
    </cfRule>
  </conditionalFormatting>
  <conditionalFormatting sqref="B14:E14 G14:J14">
    <cfRule type="expression" priority="229" stopIfTrue="1">
      <formula>$R14=""</formula>
    </cfRule>
    <cfRule type="expression" dxfId="154" priority="230" stopIfTrue="1">
      <formula>$R14=4</formula>
    </cfRule>
    <cfRule type="expression" dxfId="153" priority="231" stopIfTrue="1">
      <formula>$R14=3</formula>
    </cfRule>
    <cfRule type="expression" dxfId="152" priority="232" stopIfTrue="1">
      <formula>$R14=2</formula>
    </cfRule>
    <cfRule type="expression" dxfId="151" priority="233" stopIfTrue="1">
      <formula>$R14=1</formula>
    </cfRule>
    <cfRule type="expression" dxfId="150" priority="234" stopIfTrue="1">
      <formula>$R14=0</formula>
    </cfRule>
  </conditionalFormatting>
  <conditionalFormatting sqref="K14">
    <cfRule type="expression" priority="223" stopIfTrue="1">
      <formula>$R14=""</formula>
    </cfRule>
    <cfRule type="expression" dxfId="149" priority="224" stopIfTrue="1">
      <formula>$R14=4</formula>
    </cfRule>
    <cfRule type="expression" dxfId="148" priority="225" stopIfTrue="1">
      <formula>$R14=3</formula>
    </cfRule>
    <cfRule type="expression" dxfId="147" priority="226" stopIfTrue="1">
      <formula>$R14=2</formula>
    </cfRule>
    <cfRule type="expression" dxfId="146" priority="227" stopIfTrue="1">
      <formula>$R14=1</formula>
    </cfRule>
    <cfRule type="expression" dxfId="145" priority="228" stopIfTrue="1">
      <formula>$R14=0</formula>
    </cfRule>
  </conditionalFormatting>
  <conditionalFormatting sqref="B56:E56 G56:R56">
    <cfRule type="expression" priority="217" stopIfTrue="1">
      <formula>$R56=""</formula>
    </cfRule>
    <cfRule type="expression" dxfId="144" priority="218" stopIfTrue="1">
      <formula>$R56=4</formula>
    </cfRule>
    <cfRule type="expression" dxfId="143" priority="219" stopIfTrue="1">
      <formula>$R56=3</formula>
    </cfRule>
    <cfRule type="expression" dxfId="142" priority="220" stopIfTrue="1">
      <formula>$R56=2</formula>
    </cfRule>
    <cfRule type="expression" dxfId="141" priority="221" stopIfTrue="1">
      <formula>$R56=1</formula>
    </cfRule>
    <cfRule type="expression" dxfId="140" priority="222" stopIfTrue="1">
      <formula>$R56=0</formula>
    </cfRule>
  </conditionalFormatting>
  <conditionalFormatting sqref="B29:E29 G29:R29">
    <cfRule type="expression" priority="211" stopIfTrue="1">
      <formula>$R29=""</formula>
    </cfRule>
    <cfRule type="expression" dxfId="139" priority="212" stopIfTrue="1">
      <formula>$R29=4</formula>
    </cfRule>
    <cfRule type="expression" dxfId="138" priority="213" stopIfTrue="1">
      <formula>$R29=3</formula>
    </cfRule>
    <cfRule type="expression" dxfId="137" priority="214" stopIfTrue="1">
      <formula>$R29=2</formula>
    </cfRule>
    <cfRule type="expression" dxfId="136" priority="215" stopIfTrue="1">
      <formula>$R29=1</formula>
    </cfRule>
    <cfRule type="expression" dxfId="135" priority="216" stopIfTrue="1">
      <formula>$R29=0</formula>
    </cfRule>
  </conditionalFormatting>
  <conditionalFormatting sqref="B27:E27 G27:R27">
    <cfRule type="expression" priority="199" stopIfTrue="1">
      <formula>$R27=""</formula>
    </cfRule>
    <cfRule type="expression" dxfId="134" priority="200" stopIfTrue="1">
      <formula>$R27=4</formula>
    </cfRule>
    <cfRule type="expression" dxfId="133" priority="201" stopIfTrue="1">
      <formula>$R27=3</formula>
    </cfRule>
    <cfRule type="expression" dxfId="132" priority="202" stopIfTrue="1">
      <formula>$R27=2</formula>
    </cfRule>
    <cfRule type="expression" dxfId="131" priority="203" stopIfTrue="1">
      <formula>$R27=1</formula>
    </cfRule>
    <cfRule type="expression" dxfId="130" priority="204" stopIfTrue="1">
      <formula>$R27=0</formula>
    </cfRule>
  </conditionalFormatting>
  <conditionalFormatting sqref="B60:E60">
    <cfRule type="expression" priority="187" stopIfTrue="1">
      <formula>$R60=""</formula>
    </cfRule>
    <cfRule type="expression" dxfId="129" priority="188" stopIfTrue="1">
      <formula>$R60=4</formula>
    </cfRule>
    <cfRule type="expression" dxfId="128" priority="189" stopIfTrue="1">
      <formula>$R60=3</formula>
    </cfRule>
    <cfRule type="expression" dxfId="127" priority="190" stopIfTrue="1">
      <formula>$R60=2</formula>
    </cfRule>
    <cfRule type="expression" dxfId="126" priority="191" stopIfTrue="1">
      <formula>$R60=1</formula>
    </cfRule>
    <cfRule type="expression" dxfId="125" priority="192" stopIfTrue="1">
      <formula>$R60=0</formula>
    </cfRule>
  </conditionalFormatting>
  <conditionalFormatting sqref="G60:R60">
    <cfRule type="expression" priority="181" stopIfTrue="1">
      <formula>$R60=""</formula>
    </cfRule>
    <cfRule type="expression" dxfId="124" priority="182" stopIfTrue="1">
      <formula>$R60=4</formula>
    </cfRule>
    <cfRule type="expression" dxfId="123" priority="183" stopIfTrue="1">
      <formula>$R60=3</formula>
    </cfRule>
    <cfRule type="expression" dxfId="122" priority="184" stopIfTrue="1">
      <formula>$R60=2</formula>
    </cfRule>
    <cfRule type="expression" dxfId="121" priority="185" stopIfTrue="1">
      <formula>$R60=1</formula>
    </cfRule>
    <cfRule type="expression" dxfId="120" priority="186" stopIfTrue="1">
      <formula>$R60=0</formula>
    </cfRule>
  </conditionalFormatting>
  <conditionalFormatting sqref="B27:E27 G27:R27">
    <cfRule type="expression" priority="163" stopIfTrue="1">
      <formula>$R27=""</formula>
    </cfRule>
    <cfRule type="expression" dxfId="119" priority="164" stopIfTrue="1">
      <formula>$R27=4</formula>
    </cfRule>
    <cfRule type="expression" dxfId="118" priority="165" stopIfTrue="1">
      <formula>$R27=3</formula>
    </cfRule>
    <cfRule type="expression" dxfId="117" priority="166" stopIfTrue="1">
      <formula>$R27=2</formula>
    </cfRule>
    <cfRule type="expression" dxfId="116" priority="167" stopIfTrue="1">
      <formula>$R27=1</formula>
    </cfRule>
    <cfRule type="expression" dxfId="115" priority="168" stopIfTrue="1">
      <formula>$R27=0</formula>
    </cfRule>
  </conditionalFormatting>
  <conditionalFormatting sqref="B40:E40">
    <cfRule type="expression" priority="157" stopIfTrue="1">
      <formula>$R40=""</formula>
    </cfRule>
    <cfRule type="expression" dxfId="114" priority="158" stopIfTrue="1">
      <formula>$R40=4</formula>
    </cfRule>
    <cfRule type="expression" dxfId="113" priority="159" stopIfTrue="1">
      <formula>$R40=3</formula>
    </cfRule>
    <cfRule type="expression" dxfId="112" priority="160" stopIfTrue="1">
      <formula>$R40=2</formula>
    </cfRule>
    <cfRule type="expression" dxfId="111" priority="161" stopIfTrue="1">
      <formula>$R40=1</formula>
    </cfRule>
    <cfRule type="expression" dxfId="110" priority="162" stopIfTrue="1">
      <formula>$R40=0</formula>
    </cfRule>
  </conditionalFormatting>
  <conditionalFormatting sqref="G40:R40">
    <cfRule type="expression" priority="151" stopIfTrue="1">
      <formula>$R40=""</formula>
    </cfRule>
    <cfRule type="expression" dxfId="109" priority="152" stopIfTrue="1">
      <formula>$R40=4</formula>
    </cfRule>
    <cfRule type="expression" dxfId="108" priority="153" stopIfTrue="1">
      <formula>$R40=3</formula>
    </cfRule>
    <cfRule type="expression" dxfId="107" priority="154" stopIfTrue="1">
      <formula>$R40=2</formula>
    </cfRule>
    <cfRule type="expression" dxfId="106" priority="155" stopIfTrue="1">
      <formula>$R40=1</formula>
    </cfRule>
    <cfRule type="expression" dxfId="105" priority="156" stopIfTrue="1">
      <formula>$R40=0</formula>
    </cfRule>
  </conditionalFormatting>
  <conditionalFormatting sqref="B55:E55">
    <cfRule type="expression" priority="133" stopIfTrue="1">
      <formula>$R55=""</formula>
    </cfRule>
    <cfRule type="expression" dxfId="104" priority="134" stopIfTrue="1">
      <formula>$R55=4</formula>
    </cfRule>
    <cfRule type="expression" dxfId="103" priority="135" stopIfTrue="1">
      <formula>$R55=3</formula>
    </cfRule>
    <cfRule type="expression" dxfId="102" priority="136" stopIfTrue="1">
      <formula>$R55=2</formula>
    </cfRule>
    <cfRule type="expression" dxfId="101" priority="137" stopIfTrue="1">
      <formula>$R55=1</formula>
    </cfRule>
    <cfRule type="expression" dxfId="100" priority="138" stopIfTrue="1">
      <formula>$R55=0</formula>
    </cfRule>
  </conditionalFormatting>
  <conditionalFormatting sqref="G55:R55">
    <cfRule type="expression" priority="127" stopIfTrue="1">
      <formula>$R55=""</formula>
    </cfRule>
    <cfRule type="expression" dxfId="99" priority="128" stopIfTrue="1">
      <formula>$R55=4</formula>
    </cfRule>
    <cfRule type="expression" dxfId="98" priority="129" stopIfTrue="1">
      <formula>$R55=3</formula>
    </cfRule>
    <cfRule type="expression" dxfId="97" priority="130" stopIfTrue="1">
      <formula>$R55=2</formula>
    </cfRule>
    <cfRule type="expression" dxfId="96" priority="131" stopIfTrue="1">
      <formula>$R55=1</formula>
    </cfRule>
    <cfRule type="expression" dxfId="95" priority="132" stopIfTrue="1">
      <formula>$R55=0</formula>
    </cfRule>
  </conditionalFormatting>
  <conditionalFormatting sqref="N35">
    <cfRule type="expression" priority="115" stopIfTrue="1">
      <formula>$R35=""</formula>
    </cfRule>
    <cfRule type="expression" dxfId="94" priority="116" stopIfTrue="1">
      <formula>$R35=4</formula>
    </cfRule>
    <cfRule type="expression" dxfId="93" priority="117" stopIfTrue="1">
      <formula>$R35=3</formula>
    </cfRule>
    <cfRule type="expression" dxfId="92" priority="118" stopIfTrue="1">
      <formula>$R35=2</formula>
    </cfRule>
    <cfRule type="expression" dxfId="91" priority="119" stopIfTrue="1">
      <formula>$R35=1</formula>
    </cfRule>
    <cfRule type="expression" dxfId="90" priority="120" stopIfTrue="1">
      <formula>$R35=0</formula>
    </cfRule>
  </conditionalFormatting>
  <conditionalFormatting sqref="N35">
    <cfRule type="expression" priority="109" stopIfTrue="1">
      <formula>$R35=""</formula>
    </cfRule>
    <cfRule type="expression" dxfId="89" priority="110" stopIfTrue="1">
      <formula>$R35=4</formula>
    </cfRule>
    <cfRule type="expression" dxfId="88" priority="111" stopIfTrue="1">
      <formula>$R35=3</formula>
    </cfRule>
    <cfRule type="expression" dxfId="87" priority="112" stopIfTrue="1">
      <formula>$R35=2</formula>
    </cfRule>
    <cfRule type="expression" dxfId="86" priority="113" stopIfTrue="1">
      <formula>$R35=1</formula>
    </cfRule>
    <cfRule type="expression" dxfId="85" priority="114" stopIfTrue="1">
      <formula>$R35=0</formula>
    </cfRule>
  </conditionalFormatting>
  <conditionalFormatting sqref="B48:E48 G48:R48">
    <cfRule type="expression" priority="103" stopIfTrue="1">
      <formula>$R48=""</formula>
    </cfRule>
    <cfRule type="expression" dxfId="84" priority="104" stopIfTrue="1">
      <formula>$R48=4</formula>
    </cfRule>
    <cfRule type="expression" dxfId="83" priority="105" stopIfTrue="1">
      <formula>$R48=3</formula>
    </cfRule>
    <cfRule type="expression" dxfId="82" priority="106" stopIfTrue="1">
      <formula>$R48=2</formula>
    </cfRule>
    <cfRule type="expression" dxfId="81" priority="107" stopIfTrue="1">
      <formula>$R48=1</formula>
    </cfRule>
    <cfRule type="expression" dxfId="80" priority="108" stopIfTrue="1">
      <formula>$R48=0</formula>
    </cfRule>
  </conditionalFormatting>
  <conditionalFormatting sqref="B72:E72 G72:R72">
    <cfRule type="expression" priority="97" stopIfTrue="1">
      <formula>$R72=""</formula>
    </cfRule>
    <cfRule type="expression" dxfId="79" priority="98" stopIfTrue="1">
      <formula>$R72=4</formula>
    </cfRule>
    <cfRule type="expression" dxfId="78" priority="99" stopIfTrue="1">
      <formula>$R72=3</formula>
    </cfRule>
    <cfRule type="expression" dxfId="77" priority="100" stopIfTrue="1">
      <formula>$R72=2</formula>
    </cfRule>
    <cfRule type="expression" dxfId="76" priority="101" stopIfTrue="1">
      <formula>$R72=1</formula>
    </cfRule>
    <cfRule type="expression" dxfId="75" priority="102" stopIfTrue="1">
      <formula>$R72=0</formula>
    </cfRule>
  </conditionalFormatting>
  <conditionalFormatting sqref="B23:D23">
    <cfRule type="expression" priority="91" stopIfTrue="1">
      <formula>$R23=""</formula>
    </cfRule>
    <cfRule type="expression" dxfId="74" priority="92" stopIfTrue="1">
      <formula>$R23=4</formula>
    </cfRule>
    <cfRule type="expression" dxfId="73" priority="93" stopIfTrue="1">
      <formula>$R23=3</formula>
    </cfRule>
    <cfRule type="expression" dxfId="72" priority="94" stopIfTrue="1">
      <formula>$R23=2</formula>
    </cfRule>
    <cfRule type="expression" dxfId="71" priority="95" stopIfTrue="1">
      <formula>$R23=1</formula>
    </cfRule>
    <cfRule type="expression" dxfId="70" priority="96" stopIfTrue="1">
      <formula>$R23=0</formula>
    </cfRule>
  </conditionalFormatting>
  <conditionalFormatting sqref="B26:E26 G26:R26">
    <cfRule type="expression" priority="85" stopIfTrue="1">
      <formula>$R26=""</formula>
    </cfRule>
    <cfRule type="expression" dxfId="69" priority="86" stopIfTrue="1">
      <formula>$R26=4</formula>
    </cfRule>
    <cfRule type="expression" dxfId="68" priority="87" stopIfTrue="1">
      <formula>$R26=3</formula>
    </cfRule>
    <cfRule type="expression" dxfId="67" priority="88" stopIfTrue="1">
      <formula>$R26=2</formula>
    </cfRule>
    <cfRule type="expression" dxfId="66" priority="89" stopIfTrue="1">
      <formula>$R26=1</formula>
    </cfRule>
    <cfRule type="expression" dxfId="65" priority="90" stopIfTrue="1">
      <formula>$R26=0</formula>
    </cfRule>
  </conditionalFormatting>
  <conditionalFormatting sqref="B25:E25 G25:R25">
    <cfRule type="expression" priority="79" stopIfTrue="1">
      <formula>$R25=""</formula>
    </cfRule>
    <cfRule type="expression" dxfId="64" priority="80" stopIfTrue="1">
      <formula>$R25=4</formula>
    </cfRule>
    <cfRule type="expression" dxfId="63" priority="81" stopIfTrue="1">
      <formula>$R25=3</formula>
    </cfRule>
    <cfRule type="expression" dxfId="62" priority="82" stopIfTrue="1">
      <formula>$R25=2</formula>
    </cfRule>
    <cfRule type="expression" dxfId="61" priority="83" stopIfTrue="1">
      <formula>$R25=1</formula>
    </cfRule>
    <cfRule type="expression" dxfId="60" priority="84" stopIfTrue="1">
      <formula>$R25=0</formula>
    </cfRule>
  </conditionalFormatting>
  <conditionalFormatting sqref="B7:E7 G7:R7">
    <cfRule type="expression" priority="73" stopIfTrue="1">
      <formula>$R7=""</formula>
    </cfRule>
    <cfRule type="expression" dxfId="59" priority="74" stopIfTrue="1">
      <formula>$R7=4</formula>
    </cfRule>
    <cfRule type="expression" dxfId="58" priority="75" stopIfTrue="1">
      <formula>$R7=3</formula>
    </cfRule>
    <cfRule type="expression" dxfId="57" priority="76" stopIfTrue="1">
      <formula>$R7=2</formula>
    </cfRule>
    <cfRule type="expression" dxfId="56" priority="77" stopIfTrue="1">
      <formula>$R7=1</formula>
    </cfRule>
    <cfRule type="expression" dxfId="55" priority="78" stopIfTrue="1">
      <formula>$R7=0</formula>
    </cfRule>
  </conditionalFormatting>
  <conditionalFormatting sqref="B41:E41 G41:R41">
    <cfRule type="expression" priority="61" stopIfTrue="1">
      <formula>$R41=""</formula>
    </cfRule>
    <cfRule type="expression" dxfId="54" priority="62" stopIfTrue="1">
      <formula>$R41=4</formula>
    </cfRule>
    <cfRule type="expression" dxfId="53" priority="63" stopIfTrue="1">
      <formula>$R41=3</formula>
    </cfRule>
    <cfRule type="expression" dxfId="52" priority="64" stopIfTrue="1">
      <formula>$R41=2</formula>
    </cfRule>
    <cfRule type="expression" dxfId="51" priority="65" stopIfTrue="1">
      <formula>$R41=1</formula>
    </cfRule>
    <cfRule type="expression" dxfId="50" priority="66" stopIfTrue="1">
      <formula>$R41=0</formula>
    </cfRule>
  </conditionalFormatting>
  <conditionalFormatting sqref="B46:E46 G46:R46">
    <cfRule type="expression" priority="55" stopIfTrue="1">
      <formula>$R46=""</formula>
    </cfRule>
    <cfRule type="expression" dxfId="49" priority="56" stopIfTrue="1">
      <formula>$R46=4</formula>
    </cfRule>
    <cfRule type="expression" dxfId="48" priority="57" stopIfTrue="1">
      <formula>$R46=3</formula>
    </cfRule>
    <cfRule type="expression" dxfId="47" priority="58" stopIfTrue="1">
      <formula>$R46=2</formula>
    </cfRule>
    <cfRule type="expression" dxfId="46" priority="59" stopIfTrue="1">
      <formula>$R46=1</formula>
    </cfRule>
    <cfRule type="expression" dxfId="45" priority="60" stopIfTrue="1">
      <formula>$R46=0</formula>
    </cfRule>
  </conditionalFormatting>
  <conditionalFormatting sqref="B51:E51 G51:R51">
    <cfRule type="expression" priority="49" stopIfTrue="1">
      <formula>$R51=""</formula>
    </cfRule>
    <cfRule type="expression" dxfId="44" priority="50" stopIfTrue="1">
      <formula>$R51=4</formula>
    </cfRule>
    <cfRule type="expression" dxfId="43" priority="51" stopIfTrue="1">
      <formula>$R51=3</formula>
    </cfRule>
    <cfRule type="expression" dxfId="42" priority="52" stopIfTrue="1">
      <formula>$R51=2</formula>
    </cfRule>
    <cfRule type="expression" dxfId="41" priority="53" stopIfTrue="1">
      <formula>$R51=1</formula>
    </cfRule>
    <cfRule type="expression" dxfId="40" priority="54" stopIfTrue="1">
      <formula>$R51=0</formula>
    </cfRule>
  </conditionalFormatting>
  <conditionalFormatting sqref="B69:E69 G69:R69">
    <cfRule type="expression" priority="43" stopIfTrue="1">
      <formula>$R69=""</formula>
    </cfRule>
    <cfRule type="expression" dxfId="39" priority="44" stopIfTrue="1">
      <formula>$R69=4</formula>
    </cfRule>
    <cfRule type="expression" dxfId="38" priority="45" stopIfTrue="1">
      <formula>$R69=3</formula>
    </cfRule>
    <cfRule type="expression" dxfId="37" priority="46" stopIfTrue="1">
      <formula>$R69=2</formula>
    </cfRule>
    <cfRule type="expression" dxfId="36" priority="47" stopIfTrue="1">
      <formula>$R69=1</formula>
    </cfRule>
    <cfRule type="expression" dxfId="35" priority="48" stopIfTrue="1">
      <formula>$R69=0</formula>
    </cfRule>
  </conditionalFormatting>
  <conditionalFormatting sqref="B6:D6">
    <cfRule type="expression" priority="37" stopIfTrue="1">
      <formula>$R6=""</formula>
    </cfRule>
    <cfRule type="expression" dxfId="34" priority="38" stopIfTrue="1">
      <formula>$R6=4</formula>
    </cfRule>
    <cfRule type="expression" dxfId="33" priority="39" stopIfTrue="1">
      <formula>$R6=3</formula>
    </cfRule>
    <cfRule type="expression" dxfId="32" priority="40" stopIfTrue="1">
      <formula>$R6=2</formula>
    </cfRule>
    <cfRule type="expression" dxfId="31" priority="41" stopIfTrue="1">
      <formula>$R6=1</formula>
    </cfRule>
    <cfRule type="expression" dxfId="30" priority="42" stopIfTrue="1">
      <formula>$R6=0</formula>
    </cfRule>
  </conditionalFormatting>
  <conditionalFormatting sqref="B33:E33 G33:R33">
    <cfRule type="expression" priority="31" stopIfTrue="1">
      <formula>$R33=""</formula>
    </cfRule>
    <cfRule type="expression" dxfId="29" priority="32" stopIfTrue="1">
      <formula>$R33=4</formula>
    </cfRule>
    <cfRule type="expression" dxfId="28" priority="33" stopIfTrue="1">
      <formula>$R33=3</formula>
    </cfRule>
    <cfRule type="expression" dxfId="27" priority="34" stopIfTrue="1">
      <formula>$R33=2</formula>
    </cfRule>
    <cfRule type="expression" dxfId="26" priority="35" stopIfTrue="1">
      <formula>$R33=1</formula>
    </cfRule>
    <cfRule type="expression" dxfId="25" priority="36" stopIfTrue="1">
      <formula>$R33=0</formula>
    </cfRule>
  </conditionalFormatting>
  <conditionalFormatting sqref="B42:E42 G42:R42">
    <cfRule type="expression" priority="25" stopIfTrue="1">
      <formula>$R42=""</formula>
    </cfRule>
    <cfRule type="expression" dxfId="24" priority="26" stopIfTrue="1">
      <formula>$R42=4</formula>
    </cfRule>
    <cfRule type="expression" dxfId="23" priority="27" stopIfTrue="1">
      <formula>$R42=3</formula>
    </cfRule>
    <cfRule type="expression" dxfId="22" priority="28" stopIfTrue="1">
      <formula>$R42=2</formula>
    </cfRule>
    <cfRule type="expression" dxfId="21" priority="29" stopIfTrue="1">
      <formula>$R42=1</formula>
    </cfRule>
    <cfRule type="expression" dxfId="20" priority="30" stopIfTrue="1">
      <formula>$R42=0</formula>
    </cfRule>
  </conditionalFormatting>
  <conditionalFormatting sqref="B45:E45 G45:R45">
    <cfRule type="expression" priority="19" stopIfTrue="1">
      <formula>$R45=""</formula>
    </cfRule>
    <cfRule type="expression" dxfId="19" priority="20" stopIfTrue="1">
      <formula>$R45=4</formula>
    </cfRule>
    <cfRule type="expression" dxfId="18" priority="21" stopIfTrue="1">
      <formula>$R45=3</formula>
    </cfRule>
    <cfRule type="expression" dxfId="17" priority="22" stopIfTrue="1">
      <formula>$R45=2</formula>
    </cfRule>
    <cfRule type="expression" dxfId="16" priority="23" stopIfTrue="1">
      <formula>$R45=1</formula>
    </cfRule>
    <cfRule type="expression" dxfId="15" priority="24" stopIfTrue="1">
      <formula>$R45=0</formula>
    </cfRule>
  </conditionalFormatting>
  <conditionalFormatting sqref="B47:E47 G47:R47">
    <cfRule type="expression" priority="13" stopIfTrue="1">
      <formula>$R47=""</formula>
    </cfRule>
    <cfRule type="expression" dxfId="14" priority="14" stopIfTrue="1">
      <formula>$R47=4</formula>
    </cfRule>
    <cfRule type="expression" dxfId="13" priority="15" stopIfTrue="1">
      <formula>$R47=3</formula>
    </cfRule>
    <cfRule type="expression" dxfId="12" priority="16" stopIfTrue="1">
      <formula>$R47=2</formula>
    </cfRule>
    <cfRule type="expression" dxfId="11" priority="17" stopIfTrue="1">
      <formula>$R47=1</formula>
    </cfRule>
    <cfRule type="expression" dxfId="10" priority="18" stopIfTrue="1">
      <formula>$R47=0</formula>
    </cfRule>
  </conditionalFormatting>
  <conditionalFormatting sqref="B71:E71 G71:R71">
    <cfRule type="expression" priority="7" stopIfTrue="1">
      <formula>$R71=""</formula>
    </cfRule>
    <cfRule type="expression" dxfId="9" priority="8" stopIfTrue="1">
      <formula>$R71=4</formula>
    </cfRule>
    <cfRule type="expression" dxfId="8" priority="9" stopIfTrue="1">
      <formula>$R71=3</formula>
    </cfRule>
    <cfRule type="expression" dxfId="7" priority="10" stopIfTrue="1">
      <formula>$R71=2</formula>
    </cfRule>
    <cfRule type="expression" dxfId="6" priority="11" stopIfTrue="1">
      <formula>$R71=1</formula>
    </cfRule>
    <cfRule type="expression" dxfId="5" priority="12" stopIfTrue="1">
      <formula>$R71=0</formula>
    </cfRule>
  </conditionalFormatting>
  <conditionalFormatting sqref="B22:E22 G22:R22">
    <cfRule type="expression" priority="1" stopIfTrue="1">
      <formula>$R22=""</formula>
    </cfRule>
    <cfRule type="expression" dxfId="4" priority="2" stopIfTrue="1">
      <formula>$R22=4</formula>
    </cfRule>
    <cfRule type="expression" dxfId="3" priority="3" stopIfTrue="1">
      <formula>$R22=3</formula>
    </cfRule>
    <cfRule type="expression" dxfId="2" priority="4" stopIfTrue="1">
      <formula>$R22=2</formula>
    </cfRule>
    <cfRule type="expression" dxfId="1" priority="5" stopIfTrue="1">
      <formula>$R22=1</formula>
    </cfRule>
    <cfRule type="expression" dxfId="0" priority="6" stopIfTrue="1">
      <formula>$R22=0</formula>
    </cfRule>
  </conditionalFormatting>
  <dataValidations count="7">
    <dataValidation allowBlank="1" showInputMessage="1" showErrorMessage="1" errorTitle="Gruppenwettkampf" error="Bitte gültigen Wert wählen!" promptTitle="Gruppenwettkampf" sqref="AQ3:AQ5" xr:uid="{00000000-0002-0000-0000-000000000000}"/>
    <dataValidation allowBlank="1" showInputMessage="1" showErrorMessage="1" errorTitle="Unterkunft" error="Bitte gültige Unterkunft wählen!" promptTitle="Unterkunft" sqref="T3:V3 S3:S5 T36:V36 W3:Y74" xr:uid="{00000000-0002-0000-0000-000001000000}"/>
    <dataValidation allowBlank="1" showInputMessage="1" showErrorMessage="1" errorTitle="Waffenart" error="Bitte gültige Waffenart auswählen!" promptTitle="Waffenart" sqref="Q3:R5" xr:uid="{00000000-0002-0000-0000-000002000000}"/>
    <dataValidation type="list" allowBlank="1" showInputMessage="1" showErrorMessage="1" errorTitle="Unterkunft" error="Bitte gültige Unterkunft wählen!" promptTitle="Unterkunft" sqref="T37:V74 S23:S74 S6:V22 T23:V35" xr:uid="{00000000-0002-0000-0000-000005000000}">
      <formula1>Unterkunft</formula1>
    </dataValidation>
    <dataValidation type="list" allowBlank="1" showInputMessage="1" showErrorMessage="1" errorTitle="Gruppenwettkampf" error="Bitte gültigen Wert wählen!" promptTitle="Gruppenwettkampf" sqref="AQ6:AQ74" xr:uid="{00000000-0002-0000-0000-000003000000}">
      <formula1>Gruppenwettkampf</formula1>
    </dataValidation>
    <dataValidation type="list" allowBlank="1" showInputMessage="1" showErrorMessage="1" errorTitle="Waffenart" error="Bitte gültige Waffenart auswählen!" promptTitle="Waffenart" sqref="Q6:Q74" xr:uid="{00000000-0002-0000-0000-000004000000}">
      <formula1>Waffe</formula1>
    </dataValidation>
    <dataValidation type="whole" allowBlank="1" showInputMessage="1" showErrorMessage="1" sqref="R6:R74" xr:uid="{00000000-0002-0000-0000-000006000000}">
      <formula1>0</formula1>
      <formula2>4</formula2>
    </dataValidation>
  </dataValidations>
  <hyperlinks>
    <hyperlink ref="P73" r:id="rId1" xr:uid="{00000000-0004-0000-0000-000000000000}"/>
    <hyperlink ref="P57" r:id="rId2" xr:uid="{00000000-0004-0000-0000-000001000000}"/>
    <hyperlink ref="P13" r:id="rId3" display="buergi.k@bluewin.ch" xr:uid="{00000000-0004-0000-0000-000002000000}"/>
    <hyperlink ref="P8" r:id="rId4" xr:uid="{00000000-0004-0000-0000-000003000000}"/>
    <hyperlink ref="P10" r:id="rId5" xr:uid="{00000000-0004-0000-0000-000004000000}"/>
    <hyperlink ref="P31" r:id="rId6" xr:uid="{00000000-0004-0000-0000-000005000000}"/>
    <hyperlink ref="P11" r:id="rId7" xr:uid="{00000000-0004-0000-0000-000006000000}"/>
    <hyperlink ref="P66" r:id="rId8" xr:uid="{00000000-0004-0000-0000-000007000000}"/>
    <hyperlink ref="P39" r:id="rId9" xr:uid="{00000000-0004-0000-0000-000008000000}"/>
    <hyperlink ref="P15" r:id="rId10" display="dchristing92@bluewin.ch" xr:uid="{00000000-0004-0000-0000-000009000000}"/>
    <hyperlink ref="P35" r:id="rId11" xr:uid="{00000000-0004-0000-0000-00000A000000}"/>
    <hyperlink ref="P64" r:id="rId12" xr:uid="{00000000-0004-0000-0000-00000B000000}"/>
    <hyperlink ref="P36" r:id="rId13" display="alice_lang@hotmail.com" xr:uid="{00000000-0004-0000-0000-00000C000000}"/>
    <hyperlink ref="P55" r:id="rId14" xr:uid="{00000000-0004-0000-0000-00000D000000}"/>
    <hyperlink ref="P72" r:id="rId15" xr:uid="{00000000-0004-0000-0000-00000E000000}"/>
    <hyperlink ref="P58" r:id="rId16" xr:uid="{00000000-0004-0000-0000-00000F000000}"/>
    <hyperlink ref="P46" r:id="rId17" xr:uid="{00000000-0004-0000-0000-000010000000}"/>
    <hyperlink ref="P69" r:id="rId18" xr:uid="{00000000-0004-0000-0000-000011000000}"/>
    <hyperlink ref="P24" r:id="rId19" xr:uid="{00000000-0004-0000-0000-000012000000}"/>
    <hyperlink ref="P25" r:id="rId20" xr:uid="{00000000-0004-0000-0000-000013000000}"/>
    <hyperlink ref="P27" r:id="rId21" xr:uid="{00000000-0004-0000-0000-000014000000}"/>
    <hyperlink ref="P47" r:id="rId22" xr:uid="{00000000-0004-0000-0000-000015000000}"/>
    <hyperlink ref="P28" r:id="rId23" xr:uid="{00000000-0004-0000-0000-000016000000}"/>
    <hyperlink ref="P21" r:id="rId24" xr:uid="{0477B035-9B83-4498-BAB4-EDD8E6563553}"/>
  </hyperlinks>
  <printOptions gridLines="1"/>
  <pageMargins left="0.59055118110236227" right="0.27559055118110237" top="0.47244094488188981" bottom="0.47244094488188981" header="0.23622047244094491" footer="0.23622047244094491"/>
  <pageSetup paperSize="8" scale="110" fitToWidth="0" orientation="landscape" r:id="rId25"/>
  <headerFooter alignWithMargins="0">
    <oddHeader>&amp;R20.09.2021 / UKL</oddHeader>
    <oddFooter>&amp;L&amp;8&amp;F / &amp;A&amp;C&amp;8Seite &amp;P von &amp;N&amp;R&amp;8Druckdat.: &amp;D</oddFooter>
  </headerFooter>
  <colBreaks count="1" manualBreakCount="1">
    <brk id="25" max="81" man="1"/>
  </colBreaks>
  <ignoredErrors>
    <ignoredError sqref="BA75:BH75 AR75:AU75 AW75:AY75" formula="1"/>
  </ignoredErrors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showGridLines="0" showRowColHeaders="0" tabSelected="1" showRuler="0" view="pageLayout" zoomScaleNormal="100" workbookViewId="0">
      <selection activeCell="B5" sqref="B5:D5"/>
    </sheetView>
  </sheetViews>
  <sheetFormatPr baseColWidth="10" defaultRowHeight="12.75" outlineLevelRow="1" x14ac:dyDescent="0.2"/>
  <cols>
    <col min="1" max="1" width="19.7109375" customWidth="1"/>
    <col min="2" max="4" width="10.28515625" customWidth="1"/>
    <col min="5" max="5" width="2.5703125" customWidth="1"/>
    <col min="6" max="6" width="12" customWidth="1"/>
    <col min="7" max="9" width="10.28515625" customWidth="1"/>
    <col min="10" max="10" width="2.5703125" customWidth="1"/>
    <col min="11" max="11" width="15.7109375" customWidth="1"/>
    <col min="12" max="14" width="10.28515625" customWidth="1"/>
  </cols>
  <sheetData>
    <row r="1" spans="1:14" ht="18" customHeight="1" x14ac:dyDescent="0.25">
      <c r="A1" s="119">
        <v>1</v>
      </c>
      <c r="B1" s="224" t="s">
        <v>472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8" customHeight="1" x14ac:dyDescent="0.25">
      <c r="A2" s="119">
        <v>1</v>
      </c>
      <c r="B2" s="225" t="s">
        <v>473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2" customHeight="1" x14ac:dyDescent="0.25">
      <c r="D3" s="225"/>
      <c r="E3" s="225"/>
      <c r="F3" s="225"/>
      <c r="G3" s="225"/>
      <c r="H3" s="225"/>
      <c r="I3" s="225"/>
      <c r="J3" s="225"/>
      <c r="K3" s="225"/>
      <c r="L3" s="225"/>
    </row>
    <row r="4" spans="1:14" ht="6" customHeight="1" x14ac:dyDescent="0.2"/>
    <row r="5" spans="1:14" ht="18" customHeight="1" x14ac:dyDescent="0.2">
      <c r="A5" s="31" t="s">
        <v>210</v>
      </c>
      <c r="B5" s="222">
        <f>VLOOKUP($A$1,Daten!$A$5:$Y$73,4,0)</f>
        <v>0</v>
      </c>
      <c r="C5" s="222"/>
      <c r="D5" s="222"/>
      <c r="F5" s="31" t="s">
        <v>252</v>
      </c>
      <c r="G5" s="222">
        <f>VLOOKUP($A$1,Daten!$A$5:$Y$73,7,0)</f>
        <v>0</v>
      </c>
      <c r="H5" s="222"/>
      <c r="I5" s="222"/>
      <c r="K5" s="31" t="s">
        <v>211</v>
      </c>
      <c r="L5" s="226" t="str">
        <f>VLOOKUP($A$1,Daten!$A$5:$Y$73,8,0)</f>
        <v xml:space="preserve"> </v>
      </c>
      <c r="M5" s="226"/>
      <c r="N5" s="226"/>
    </row>
    <row r="6" spans="1:14" ht="6" customHeight="1" x14ac:dyDescent="0.2"/>
    <row r="7" spans="1:14" ht="18" customHeight="1" x14ac:dyDescent="0.2">
      <c r="A7" s="31" t="s">
        <v>212</v>
      </c>
      <c r="B7" s="222">
        <f>VLOOKUP($A$1,Daten!$A$5:$Y$73,11,0)</f>
        <v>0</v>
      </c>
      <c r="C7" s="222"/>
      <c r="D7" s="222"/>
      <c r="F7" s="31" t="s">
        <v>213</v>
      </c>
      <c r="G7" s="223" t="str">
        <f>VLOOKUP($A$1,Daten!$A$5:$Y$73,12,0)&amp;" "&amp;VLOOKUP($A$1,Daten!$A$5:$Y$73,13,0)</f>
        <v xml:space="preserve"> </v>
      </c>
      <c r="H7" s="223"/>
      <c r="I7" s="223"/>
      <c r="K7" s="31" t="s">
        <v>215</v>
      </c>
      <c r="L7" s="223">
        <f>VLOOKUP($A$1,Daten!$A$5:$Y$73,16,0)</f>
        <v>0</v>
      </c>
      <c r="M7" s="223"/>
      <c r="N7" s="223"/>
    </row>
    <row r="8" spans="1:14" ht="6" customHeight="1" x14ac:dyDescent="0.2"/>
    <row r="9" spans="1:14" ht="18" customHeight="1" x14ac:dyDescent="0.2">
      <c r="A9" s="31" t="s">
        <v>214</v>
      </c>
      <c r="B9" s="222">
        <f>VLOOKUP($A$1,Daten!$A$5:$Y$73,16,0)</f>
        <v>0</v>
      </c>
      <c r="C9" s="222"/>
      <c r="D9" s="222"/>
      <c r="F9" s="31" t="s">
        <v>216</v>
      </c>
      <c r="G9" s="223">
        <f>VLOOKUP($A$1,Daten!$A$5:$Y$73,15,0)</f>
        <v>0</v>
      </c>
      <c r="H9" s="223"/>
      <c r="I9" s="223"/>
      <c r="K9" s="31" t="s">
        <v>217</v>
      </c>
      <c r="L9" s="223">
        <f>VLOOKUP($A$1,Daten!$A$5:$Y$73,14,0)</f>
        <v>0</v>
      </c>
      <c r="M9" s="223"/>
      <c r="N9" s="223"/>
    </row>
    <row r="10" spans="1:14" ht="9.9499999999999993" customHeight="1" x14ac:dyDescent="0.2"/>
    <row r="11" spans="1:14" s="31" customFormat="1" ht="18" customHeight="1" x14ac:dyDescent="0.2">
      <c r="A11" s="86" t="s">
        <v>116</v>
      </c>
      <c r="B11" s="87" t="s">
        <v>237</v>
      </c>
      <c r="C11" s="87" t="s">
        <v>229</v>
      </c>
      <c r="D11" s="213" t="s">
        <v>230</v>
      </c>
      <c r="E11" s="214"/>
      <c r="F11" s="87" t="s">
        <v>117</v>
      </c>
      <c r="G11" s="213" t="s">
        <v>231</v>
      </c>
      <c r="H11" s="215"/>
      <c r="I11" s="215"/>
      <c r="J11" s="214"/>
      <c r="K11" s="213" t="s">
        <v>232</v>
      </c>
      <c r="L11" s="215"/>
      <c r="M11" s="215"/>
      <c r="N11" s="216"/>
    </row>
    <row r="12" spans="1:14" ht="18" customHeight="1" x14ac:dyDescent="0.2">
      <c r="A12" s="84" t="s">
        <v>218</v>
      </c>
      <c r="B12" s="85" t="s">
        <v>238</v>
      </c>
      <c r="C12" s="102"/>
      <c r="D12" s="217">
        <v>6</v>
      </c>
      <c r="E12" s="218"/>
      <c r="F12" s="88" t="s">
        <v>118</v>
      </c>
      <c r="G12" s="219" t="s">
        <v>261</v>
      </c>
      <c r="H12" s="220"/>
      <c r="I12" s="220"/>
      <c r="J12" s="220"/>
      <c r="K12" s="219" t="s">
        <v>94</v>
      </c>
      <c r="L12" s="220"/>
      <c r="M12" s="220"/>
      <c r="N12" s="221"/>
    </row>
    <row r="13" spans="1:14" ht="18" customHeight="1" x14ac:dyDescent="0.2">
      <c r="A13" s="81" t="s">
        <v>219</v>
      </c>
      <c r="B13" s="83" t="s">
        <v>239</v>
      </c>
      <c r="C13" s="104">
        <v>1</v>
      </c>
      <c r="D13" s="229" t="s">
        <v>450</v>
      </c>
      <c r="E13" s="230"/>
      <c r="F13" s="89" t="s">
        <v>118</v>
      </c>
      <c r="G13" s="219" t="s">
        <v>259</v>
      </c>
      <c r="H13" s="220"/>
      <c r="I13" s="220"/>
      <c r="J13" s="220"/>
      <c r="K13" s="219" t="s">
        <v>234</v>
      </c>
      <c r="L13" s="220"/>
      <c r="M13" s="220"/>
      <c r="N13" s="221"/>
    </row>
    <row r="14" spans="1:14" ht="18" customHeight="1" x14ac:dyDescent="0.2">
      <c r="A14" s="81" t="s">
        <v>394</v>
      </c>
      <c r="B14" s="83" t="s">
        <v>241</v>
      </c>
      <c r="C14" s="103"/>
      <c r="D14" s="227">
        <v>22</v>
      </c>
      <c r="E14" s="228"/>
      <c r="F14" s="89" t="s">
        <v>119</v>
      </c>
      <c r="G14" s="219" t="s">
        <v>233</v>
      </c>
      <c r="H14" s="220"/>
      <c r="I14" s="220"/>
      <c r="J14" s="220"/>
      <c r="K14" s="219" t="s">
        <v>234</v>
      </c>
      <c r="L14" s="220"/>
      <c r="M14" s="220"/>
      <c r="N14" s="221"/>
    </row>
    <row r="15" spans="1:14" ht="18" customHeight="1" x14ac:dyDescent="0.2">
      <c r="A15" s="81" t="s">
        <v>381</v>
      </c>
      <c r="B15" s="83" t="s">
        <v>242</v>
      </c>
      <c r="C15" s="103"/>
      <c r="D15" s="227">
        <v>22</v>
      </c>
      <c r="E15" s="228"/>
      <c r="F15" s="89" t="s">
        <v>119</v>
      </c>
      <c r="G15" s="219" t="s">
        <v>451</v>
      </c>
      <c r="H15" s="220"/>
      <c r="I15" s="220"/>
      <c r="J15" s="220"/>
      <c r="K15" s="219" t="s">
        <v>234</v>
      </c>
      <c r="L15" s="220"/>
      <c r="M15" s="220"/>
      <c r="N15" s="221"/>
    </row>
    <row r="16" spans="1:14" ht="18" hidden="1" customHeight="1" outlineLevel="1" x14ac:dyDescent="0.2">
      <c r="A16" s="81" t="s">
        <v>384</v>
      </c>
      <c r="B16" s="83" t="s">
        <v>364</v>
      </c>
      <c r="C16" s="103"/>
      <c r="D16" s="227">
        <v>16</v>
      </c>
      <c r="E16" s="228"/>
      <c r="F16" s="89" t="s">
        <v>118</v>
      </c>
      <c r="G16" s="219" t="s">
        <v>256</v>
      </c>
      <c r="H16" s="220"/>
      <c r="I16" s="220"/>
      <c r="J16" s="220"/>
      <c r="K16" s="219" t="s">
        <v>234</v>
      </c>
      <c r="L16" s="220"/>
      <c r="M16" s="220"/>
      <c r="N16" s="221"/>
    </row>
    <row r="17" spans="1:14" ht="18" customHeight="1" collapsed="1" x14ac:dyDescent="0.2">
      <c r="A17" s="81" t="s">
        <v>220</v>
      </c>
      <c r="B17" s="83" t="s">
        <v>243</v>
      </c>
      <c r="C17" s="103"/>
      <c r="D17" s="227">
        <v>22</v>
      </c>
      <c r="E17" s="228"/>
      <c r="F17" s="89" t="s">
        <v>118</v>
      </c>
      <c r="G17" s="219" t="s">
        <v>253</v>
      </c>
      <c r="H17" s="220"/>
      <c r="I17" s="220"/>
      <c r="J17" s="220"/>
      <c r="K17" s="219" t="s">
        <v>235</v>
      </c>
      <c r="L17" s="220"/>
      <c r="M17" s="220"/>
      <c r="N17" s="221"/>
    </row>
    <row r="18" spans="1:14" ht="18" customHeight="1" x14ac:dyDescent="0.2">
      <c r="A18" s="81" t="s">
        <v>221</v>
      </c>
      <c r="B18" s="83" t="s">
        <v>244</v>
      </c>
      <c r="C18" s="103"/>
      <c r="D18" s="227">
        <v>22</v>
      </c>
      <c r="E18" s="228"/>
      <c r="F18" s="89" t="s">
        <v>118</v>
      </c>
      <c r="G18" s="219" t="s">
        <v>254</v>
      </c>
      <c r="H18" s="220"/>
      <c r="I18" s="220"/>
      <c r="J18" s="220"/>
      <c r="K18" s="219" t="s">
        <v>235</v>
      </c>
      <c r="L18" s="220"/>
      <c r="M18" s="220"/>
      <c r="N18" s="221"/>
    </row>
    <row r="19" spans="1:14" ht="18" customHeight="1" x14ac:dyDescent="0.2">
      <c r="A19" s="81" t="s">
        <v>474</v>
      </c>
      <c r="B19" s="83" t="s">
        <v>245</v>
      </c>
      <c r="C19" s="103"/>
      <c r="D19" s="227">
        <v>22</v>
      </c>
      <c r="E19" s="228"/>
      <c r="F19" s="89" t="s">
        <v>118</v>
      </c>
      <c r="G19" s="231" t="s">
        <v>475</v>
      </c>
      <c r="H19" s="220"/>
      <c r="I19" s="220"/>
      <c r="J19" s="220"/>
      <c r="K19" s="219" t="s">
        <v>255</v>
      </c>
      <c r="L19" s="220"/>
      <c r="M19" s="220"/>
      <c r="N19" s="221"/>
    </row>
    <row r="20" spans="1:14" ht="18" hidden="1" customHeight="1" outlineLevel="1" x14ac:dyDescent="0.2">
      <c r="A20" s="81" t="s">
        <v>382</v>
      </c>
      <c r="B20" s="83" t="s">
        <v>246</v>
      </c>
      <c r="C20" s="103"/>
      <c r="D20" s="227">
        <v>25</v>
      </c>
      <c r="E20" s="228"/>
      <c r="F20" s="89" t="s">
        <v>118</v>
      </c>
      <c r="G20" s="219" t="s">
        <v>256</v>
      </c>
      <c r="H20" s="220"/>
      <c r="I20" s="220"/>
      <c r="J20" s="220"/>
      <c r="K20" s="219" t="s">
        <v>255</v>
      </c>
      <c r="L20" s="220"/>
      <c r="M20" s="220"/>
      <c r="N20" s="221"/>
    </row>
    <row r="21" spans="1:14" ht="18" customHeight="1" collapsed="1" x14ac:dyDescent="0.2">
      <c r="A21" s="81" t="s">
        <v>222</v>
      </c>
      <c r="B21" s="83" t="s">
        <v>246</v>
      </c>
      <c r="C21" s="103"/>
      <c r="D21" s="227">
        <v>14</v>
      </c>
      <c r="E21" s="228"/>
      <c r="F21" s="89" t="s">
        <v>118</v>
      </c>
      <c r="G21" s="219" t="s">
        <v>253</v>
      </c>
      <c r="H21" s="220"/>
      <c r="I21" s="220"/>
      <c r="J21" s="220"/>
      <c r="K21" s="219" t="s">
        <v>255</v>
      </c>
      <c r="L21" s="220"/>
      <c r="M21" s="220"/>
      <c r="N21" s="221"/>
    </row>
    <row r="22" spans="1:14" ht="18" hidden="1" customHeight="1" outlineLevel="1" x14ac:dyDescent="0.2">
      <c r="A22" s="81" t="s">
        <v>448</v>
      </c>
      <c r="B22" s="83" t="s">
        <v>247</v>
      </c>
      <c r="C22" s="103"/>
      <c r="D22" s="227">
        <v>22</v>
      </c>
      <c r="E22" s="228"/>
      <c r="F22" s="89" t="s">
        <v>118</v>
      </c>
      <c r="G22" s="219" t="s">
        <v>256</v>
      </c>
      <c r="H22" s="220"/>
      <c r="I22" s="220"/>
      <c r="J22" s="220"/>
      <c r="K22" s="219" t="s">
        <v>255</v>
      </c>
      <c r="L22" s="220"/>
      <c r="M22" s="220"/>
      <c r="N22" s="221"/>
    </row>
    <row r="23" spans="1:14" ht="18" customHeight="1" collapsed="1" x14ac:dyDescent="0.2">
      <c r="A23" s="81" t="s">
        <v>223</v>
      </c>
      <c r="B23" s="188" t="s">
        <v>247</v>
      </c>
      <c r="C23" s="103"/>
      <c r="D23" s="227">
        <v>13</v>
      </c>
      <c r="E23" s="228"/>
      <c r="F23" s="89" t="s">
        <v>119</v>
      </c>
      <c r="G23" s="219" t="s">
        <v>257</v>
      </c>
      <c r="H23" s="220"/>
      <c r="I23" s="220"/>
      <c r="J23" s="220"/>
      <c r="K23" s="219" t="s">
        <v>236</v>
      </c>
      <c r="L23" s="220"/>
      <c r="M23" s="220"/>
      <c r="N23" s="221"/>
    </row>
    <row r="24" spans="1:14" ht="18" customHeight="1" x14ac:dyDescent="0.2">
      <c r="A24" s="81" t="s">
        <v>224</v>
      </c>
      <c r="B24" s="188" t="s">
        <v>248</v>
      </c>
      <c r="C24" s="103"/>
      <c r="D24" s="227">
        <v>22</v>
      </c>
      <c r="E24" s="228"/>
      <c r="F24" s="89" t="s">
        <v>119</v>
      </c>
      <c r="G24" s="219" t="s">
        <v>233</v>
      </c>
      <c r="H24" s="220"/>
      <c r="I24" s="220"/>
      <c r="J24" s="220"/>
      <c r="K24" s="219" t="s">
        <v>234</v>
      </c>
      <c r="L24" s="220"/>
      <c r="M24" s="220"/>
      <c r="N24" s="221"/>
    </row>
    <row r="25" spans="1:14" ht="18" customHeight="1" x14ac:dyDescent="0.2">
      <c r="A25" s="81" t="s">
        <v>449</v>
      </c>
      <c r="B25" s="188" t="s">
        <v>249</v>
      </c>
      <c r="C25" s="103"/>
      <c r="D25" s="227">
        <v>14</v>
      </c>
      <c r="E25" s="228"/>
      <c r="F25" s="89" t="s">
        <v>118</v>
      </c>
      <c r="G25" s="219" t="s">
        <v>256</v>
      </c>
      <c r="H25" s="220"/>
      <c r="I25" s="220"/>
      <c r="J25" s="220"/>
      <c r="K25" s="219" t="s">
        <v>262</v>
      </c>
      <c r="L25" s="220"/>
      <c r="M25" s="220"/>
      <c r="N25" s="221"/>
    </row>
    <row r="26" spans="1:14" ht="18" customHeight="1" x14ac:dyDescent="0.2">
      <c r="A26" s="81" t="s">
        <v>225</v>
      </c>
      <c r="B26" s="83" t="s">
        <v>383</v>
      </c>
      <c r="C26" s="103"/>
      <c r="D26" s="227">
        <v>7</v>
      </c>
      <c r="E26" s="228"/>
      <c r="F26" s="89" t="s">
        <v>119</v>
      </c>
      <c r="G26" s="219" t="s">
        <v>260</v>
      </c>
      <c r="H26" s="220"/>
      <c r="I26" s="220"/>
      <c r="J26" s="220"/>
      <c r="K26" s="219" t="s">
        <v>258</v>
      </c>
      <c r="L26" s="220"/>
      <c r="M26" s="220"/>
      <c r="N26" s="221"/>
    </row>
    <row r="27" spans="1:14" ht="25.5" x14ac:dyDescent="0.2">
      <c r="A27" s="82" t="s">
        <v>227</v>
      </c>
      <c r="B27" s="83" t="s">
        <v>250</v>
      </c>
      <c r="C27" s="103"/>
      <c r="D27" s="227">
        <v>90</v>
      </c>
      <c r="E27" s="228"/>
      <c r="F27" s="89" t="s">
        <v>118</v>
      </c>
      <c r="G27" s="232" t="s">
        <v>270</v>
      </c>
      <c r="H27" s="220"/>
      <c r="I27" s="220"/>
      <c r="J27" s="220"/>
      <c r="K27" s="219" t="s">
        <v>277</v>
      </c>
      <c r="L27" s="220"/>
      <c r="M27" s="220"/>
      <c r="N27" s="221"/>
    </row>
    <row r="28" spans="1:14" ht="25.5" x14ac:dyDescent="0.2">
      <c r="A28" s="82" t="s">
        <v>226</v>
      </c>
      <c r="B28" s="83" t="s">
        <v>251</v>
      </c>
      <c r="C28" s="103"/>
      <c r="D28" s="227">
        <v>90</v>
      </c>
      <c r="E28" s="228"/>
      <c r="F28" s="89" t="s">
        <v>118</v>
      </c>
      <c r="G28" s="232" t="s">
        <v>270</v>
      </c>
      <c r="H28" s="220"/>
      <c r="I28" s="220"/>
      <c r="J28" s="220"/>
      <c r="K28" s="219" t="s">
        <v>277</v>
      </c>
      <c r="L28" s="220"/>
      <c r="M28" s="220"/>
      <c r="N28" s="221"/>
    </row>
    <row r="29" spans="1:14" ht="25.5" customHeight="1" x14ac:dyDescent="0.2">
      <c r="A29" s="82" t="s">
        <v>476</v>
      </c>
      <c r="B29" s="83" t="s">
        <v>269</v>
      </c>
      <c r="C29" s="103"/>
      <c r="D29" s="227">
        <v>65</v>
      </c>
      <c r="E29" s="228"/>
      <c r="F29" s="89" t="s">
        <v>118</v>
      </c>
      <c r="G29" s="232" t="s">
        <v>328</v>
      </c>
      <c r="H29" s="220"/>
      <c r="I29" s="220"/>
      <c r="J29" s="220"/>
      <c r="K29" s="219" t="s">
        <v>262</v>
      </c>
      <c r="L29" s="220"/>
      <c r="M29" s="220"/>
      <c r="N29" s="221"/>
    </row>
    <row r="30" spans="1:14" ht="18" customHeight="1" x14ac:dyDescent="0.2">
      <c r="A30" s="120" t="s">
        <v>228</v>
      </c>
      <c r="B30" s="121" t="s">
        <v>240</v>
      </c>
      <c r="C30" s="121" t="s">
        <v>310</v>
      </c>
      <c r="D30" s="233">
        <f>IF($C$31=1,10,0)</f>
        <v>0</v>
      </c>
      <c r="E30" s="234"/>
      <c r="F30" s="122"/>
      <c r="G30" s="235"/>
      <c r="H30" s="236"/>
      <c r="I30" s="236"/>
      <c r="J30" s="236"/>
      <c r="K30" s="235"/>
      <c r="L30" s="236"/>
      <c r="M30" s="236"/>
      <c r="N30" s="237"/>
    </row>
    <row r="31" spans="1:14" ht="18" hidden="1" customHeight="1" outlineLevel="1" x14ac:dyDescent="0.2">
      <c r="A31" s="123"/>
      <c r="B31" s="124"/>
      <c r="C31" s="131">
        <v>0</v>
      </c>
      <c r="D31" s="129"/>
      <c r="E31" s="130"/>
      <c r="F31" s="125"/>
      <c r="G31" s="126"/>
      <c r="H31" s="127"/>
      <c r="I31" s="127"/>
      <c r="J31" s="127"/>
      <c r="K31" s="126"/>
      <c r="L31" s="127"/>
      <c r="M31" s="127"/>
      <c r="N31" s="128"/>
    </row>
    <row r="32" spans="1:14" ht="18" customHeight="1" collapsed="1" thickBot="1" x14ac:dyDescent="0.25">
      <c r="A32" s="240" t="s">
        <v>266</v>
      </c>
      <c r="B32" s="241"/>
      <c r="C32" s="242"/>
      <c r="D32" s="243">
        <f>C12*D12+C14*D14+C15*D15+C16*D16+C17*D17+C18*D18+C19*D19+C20*D20+C21*D21+C22*D22+C23*D23+C24*D24+C25*D25+C26*D26+C27*D27+C28*D28+C29*D29+D30</f>
        <v>0</v>
      </c>
      <c r="E32" s="244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4" customHeight="1" thickTop="1" x14ac:dyDescent="0.2">
      <c r="A33" s="31" t="s">
        <v>477</v>
      </c>
      <c r="B33" s="245" t="s">
        <v>478</v>
      </c>
      <c r="C33" s="245"/>
      <c r="D33" s="246" t="s">
        <v>479</v>
      </c>
      <c r="E33" s="246"/>
      <c r="F33" s="246"/>
      <c r="G33" s="248"/>
      <c r="H33" s="248"/>
      <c r="I33" s="248"/>
      <c r="J33" s="248"/>
      <c r="K33" s="248"/>
      <c r="L33" s="248"/>
      <c r="M33" s="248"/>
      <c r="N33" s="248"/>
    </row>
    <row r="34" spans="1:14" ht="24" hidden="1" customHeight="1" outlineLevel="1" x14ac:dyDescent="0.2">
      <c r="A34" s="31"/>
      <c r="B34" s="245"/>
      <c r="C34" s="245"/>
      <c r="D34" s="246" t="s">
        <v>479</v>
      </c>
      <c r="E34" s="246"/>
      <c r="F34" s="246"/>
      <c r="G34" s="247"/>
      <c r="H34" s="247"/>
      <c r="I34" s="247"/>
      <c r="J34" s="247"/>
      <c r="K34" s="247"/>
      <c r="L34" s="247"/>
      <c r="M34" s="247"/>
      <c r="N34" s="247"/>
    </row>
    <row r="35" spans="1:14" ht="24" customHeight="1" collapsed="1" x14ac:dyDescent="0.2">
      <c r="A35" s="31" t="s">
        <v>263</v>
      </c>
      <c r="B35" s="31" t="s">
        <v>392</v>
      </c>
      <c r="C35" s="31"/>
      <c r="D35" s="31" t="s">
        <v>264</v>
      </c>
      <c r="K35" s="245"/>
      <c r="L35" s="245"/>
      <c r="M35" s="245"/>
      <c r="N35" s="245"/>
    </row>
    <row r="36" spans="1:14" ht="24" customHeight="1" x14ac:dyDescent="0.2">
      <c r="A36" s="238" t="s">
        <v>480</v>
      </c>
      <c r="B36" s="238"/>
      <c r="C36" s="238"/>
      <c r="D36" s="238"/>
      <c r="E36" s="238"/>
      <c r="F36" s="238"/>
      <c r="G36" s="238"/>
      <c r="H36" s="238"/>
      <c r="I36" s="238"/>
      <c r="K36" s="31" t="s">
        <v>265</v>
      </c>
      <c r="L36" s="239"/>
      <c r="M36" s="239"/>
      <c r="N36" s="239"/>
    </row>
  </sheetData>
  <sheetProtection algorithmName="SHA-512" hashValue="0bS9hin8ijXGWTYB6E4/LIobg41InL8HxC0ZlrKxnmQ+/29mi6BZKzd1wYCA1UQUFoa8CmrVqmmNQiBxnM2dDw==" saltValue="PiJb7JaUyjDdVJEDF4L96Q==" spinCount="100000" sheet="1" selectLockedCells="1"/>
  <mergeCells count="83">
    <mergeCell ref="D30:E30"/>
    <mergeCell ref="G30:J30"/>
    <mergeCell ref="K30:N30"/>
    <mergeCell ref="A36:I36"/>
    <mergeCell ref="L36:N36"/>
    <mergeCell ref="A32:C32"/>
    <mergeCell ref="D32:E32"/>
    <mergeCell ref="K35:N35"/>
    <mergeCell ref="B34:C34"/>
    <mergeCell ref="D34:F34"/>
    <mergeCell ref="B33:C33"/>
    <mergeCell ref="D33:F33"/>
    <mergeCell ref="G34:N34"/>
    <mergeCell ref="G33:N33"/>
    <mergeCell ref="D25:E25"/>
    <mergeCell ref="G25:J25"/>
    <mergeCell ref="K25:N25"/>
    <mergeCell ref="K29:N29"/>
    <mergeCell ref="D26:E26"/>
    <mergeCell ref="G26:J26"/>
    <mergeCell ref="K26:N26"/>
    <mergeCell ref="D27:E27"/>
    <mergeCell ref="G27:J27"/>
    <mergeCell ref="K27:N27"/>
    <mergeCell ref="D28:E28"/>
    <mergeCell ref="G28:J28"/>
    <mergeCell ref="K28:N28"/>
    <mergeCell ref="D29:E29"/>
    <mergeCell ref="G29:J29"/>
    <mergeCell ref="D23:E23"/>
    <mergeCell ref="G23:J23"/>
    <mergeCell ref="K23:N23"/>
    <mergeCell ref="D24:E24"/>
    <mergeCell ref="G24:J24"/>
    <mergeCell ref="K24:N24"/>
    <mergeCell ref="D21:E21"/>
    <mergeCell ref="G21:J21"/>
    <mergeCell ref="K21:N21"/>
    <mergeCell ref="D22:E22"/>
    <mergeCell ref="G22:J22"/>
    <mergeCell ref="K22:N22"/>
    <mergeCell ref="D19:E19"/>
    <mergeCell ref="G19:J19"/>
    <mergeCell ref="K19:N19"/>
    <mergeCell ref="D20:E20"/>
    <mergeCell ref="G20:J20"/>
    <mergeCell ref="K20:N20"/>
    <mergeCell ref="D17:E17"/>
    <mergeCell ref="G17:J17"/>
    <mergeCell ref="K17:N17"/>
    <mergeCell ref="D18:E18"/>
    <mergeCell ref="G18:J18"/>
    <mergeCell ref="K18:N18"/>
    <mergeCell ref="D15:E15"/>
    <mergeCell ref="G15:J15"/>
    <mergeCell ref="K15:N15"/>
    <mergeCell ref="D16:E16"/>
    <mergeCell ref="G16:J16"/>
    <mergeCell ref="K16:N16"/>
    <mergeCell ref="G13:J13"/>
    <mergeCell ref="K13:N13"/>
    <mergeCell ref="D14:E14"/>
    <mergeCell ref="G14:J14"/>
    <mergeCell ref="K14:N14"/>
    <mergeCell ref="D13:E13"/>
    <mergeCell ref="B1:N1"/>
    <mergeCell ref="B2:N2"/>
    <mergeCell ref="D3:L3"/>
    <mergeCell ref="B5:D5"/>
    <mergeCell ref="G5:I5"/>
    <mergeCell ref="L5:N5"/>
    <mergeCell ref="B7:D7"/>
    <mergeCell ref="G7:I7"/>
    <mergeCell ref="L7:N7"/>
    <mergeCell ref="B9:D9"/>
    <mergeCell ref="G9:I9"/>
    <mergeCell ref="L9:N9"/>
    <mergeCell ref="D11:E11"/>
    <mergeCell ref="G11:J11"/>
    <mergeCell ref="K11:N11"/>
    <mergeCell ref="D12:E12"/>
    <mergeCell ref="G12:J12"/>
    <mergeCell ref="K12:N12"/>
  </mergeCells>
  <dataValidations count="4">
    <dataValidation type="whole" allowBlank="1" showInputMessage="1" showErrorMessage="1" errorTitle="Vereinsstich" error="Die Anzahl muss 1 sein (Vereinsstich ist Pflicht)." sqref="C13" xr:uid="{00000000-0002-0000-0300-000000000000}">
      <formula1>1</formula1>
      <formula2>1</formula2>
    </dataValidation>
    <dataValidation type="whole" allowBlank="1" showInputMessage="1" showErrorMessage="1" errorTitle="Anzahl Übungskehr" error="Die Anzahl muss zwischen 0 und 12 liegen." sqref="C12" xr:uid="{00000000-0002-0000-0300-000001000000}">
      <formula1>0</formula1>
      <formula2>12</formula2>
    </dataValidation>
    <dataValidation type="whole" allowBlank="1" showInputMessage="1" showErrorMessage="1" errorTitle="Nachdoppel" error="Die Anzahl muss zwischen 0 und 24 liegen." sqref="C26" xr:uid="{00000000-0002-0000-0300-000002000000}">
      <formula1>0</formula1>
      <formula2>24</formula2>
    </dataValidation>
    <dataValidation type="whole" allowBlank="1" showInputMessage="1" showErrorMessage="1" errorTitle="diverse Stiche" error="Die Anzahl muss zwischen 0 und 1 liegen." sqref="C27:C29 C14:C25" xr:uid="{00000000-0002-0000-0300-000003000000}">
      <formula1>0</formula1>
      <formula2>1</formula2>
    </dataValidation>
  </dataValidations>
  <pageMargins left="0.39370078740157483" right="0.31496062992125984" top="0.23622047244094491" bottom="0.35433070866141736" header="0.15748031496062992" footer="0.15748031496062992"/>
  <pageSetup paperSize="9" scale="97" orientation="landscape" r:id="rId1"/>
  <headerFooter>
    <oddFooter>&amp;L&amp;6&amp;K00-049&amp;F / &amp;A /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Drop Down 1">
              <controlPr defaultSize="0" print="0" autoLine="0" autoPict="0">
                <anchor moveWithCells="1">
                  <from>
                    <xdr:col>6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Option Button 2">
              <controlPr defaultSize="0" autoFill="0" autoLine="0" autoPict="0">
                <anchor>
                  <from>
                    <xdr:col>1</xdr:col>
                    <xdr:colOff>295275</xdr:colOff>
                    <xdr:row>29</xdr:row>
                    <xdr:rowOff>9525</xdr:rowOff>
                  </from>
                  <to>
                    <xdr:col>1</xdr:col>
                    <xdr:colOff>600075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Option Button 3">
              <controlPr defaultSize="0" autoFill="0" autoLine="0" autoPict="0">
                <anchor>
                  <from>
                    <xdr:col>2</xdr:col>
                    <xdr:colOff>295275</xdr:colOff>
                    <xdr:row>29</xdr:row>
                    <xdr:rowOff>9525</xdr:rowOff>
                  </from>
                  <to>
                    <xdr:col>2</xdr:col>
                    <xdr:colOff>600075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7" name="Drop Down 5">
              <controlPr defaultSize="0" print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8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133350</xdr:rowOff>
                  </from>
                  <to>
                    <xdr:col>3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9" name="Check Box 20">
              <controlPr defaultSize="0" autoFill="0" autoLine="0" autoPict="0">
                <anchor>
                  <from>
                    <xdr:col>3</xdr:col>
                    <xdr:colOff>0</xdr:colOff>
                    <xdr:row>34</xdr:row>
                    <xdr:rowOff>133350</xdr:rowOff>
                  </from>
                  <to>
                    <xdr:col>3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2" r:id="rId10" name="Check Box 40">
              <controlPr defaultSize="0" autoFill="0" autoLine="0" autoPict="0">
                <anchor moveWithCells="1">
                  <from>
                    <xdr:col>0</xdr:col>
                    <xdr:colOff>1314450</xdr:colOff>
                    <xdr:row>34</xdr:row>
                    <xdr:rowOff>133350</xdr:rowOff>
                  </from>
                  <to>
                    <xdr:col>1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3" r:id="rId11" name="Check Box 41">
              <controlPr defaultSize="0" autoFill="0" autoLine="0" autoPict="0">
                <anchor moveWithCells="1">
                  <from>
                    <xdr:col>0</xdr:col>
                    <xdr:colOff>1314450</xdr:colOff>
                    <xdr:row>32</xdr:row>
                    <xdr:rowOff>133350</xdr:rowOff>
                  </from>
                  <to>
                    <xdr:col>1</xdr:col>
                    <xdr:colOff>304800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4" r:id="rId12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123825</xdr:rowOff>
                  </from>
                  <to>
                    <xdr:col>3</xdr:col>
                    <xdr:colOff>304800</xdr:colOff>
                    <xdr:row>32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9" sqref="B9"/>
    </sheetView>
  </sheetViews>
  <sheetFormatPr baseColWidth="10" defaultRowHeight="12.75" x14ac:dyDescent="0.2"/>
  <cols>
    <col min="1" max="1" width="27.5703125" style="4" customWidth="1"/>
    <col min="2" max="2" width="15.7109375" bestFit="1" customWidth="1"/>
    <col min="3" max="3" width="14.85546875" bestFit="1" customWidth="1"/>
  </cols>
  <sheetData>
    <row r="1" spans="1:3" x14ac:dyDescent="0.2">
      <c r="A1" s="3" t="s">
        <v>296</v>
      </c>
      <c r="B1" s="2" t="s">
        <v>12</v>
      </c>
      <c r="C1" s="2" t="s">
        <v>26</v>
      </c>
    </row>
    <row r="2" spans="1:3" x14ac:dyDescent="0.2">
      <c r="A2" s="4" t="s">
        <v>19</v>
      </c>
      <c r="B2" s="139">
        <v>1</v>
      </c>
      <c r="C2" t="s">
        <v>27</v>
      </c>
    </row>
    <row r="3" spans="1:3" x14ac:dyDescent="0.2">
      <c r="A3" s="4" t="s">
        <v>20</v>
      </c>
      <c r="B3" s="139">
        <v>0</v>
      </c>
      <c r="C3" t="s">
        <v>107</v>
      </c>
    </row>
    <row r="4" spans="1:3" x14ac:dyDescent="0.2">
      <c r="A4" s="4">
        <v>90</v>
      </c>
      <c r="B4" t="s">
        <v>21</v>
      </c>
      <c r="C4" t="s">
        <v>108</v>
      </c>
    </row>
    <row r="5" spans="1:3" x14ac:dyDescent="0.2">
      <c r="A5" s="4" t="s">
        <v>29</v>
      </c>
      <c r="B5" t="s">
        <v>22</v>
      </c>
      <c r="C5" t="s">
        <v>109</v>
      </c>
    </row>
    <row r="6" spans="1:3" x14ac:dyDescent="0.2">
      <c r="A6" s="45" t="s">
        <v>134</v>
      </c>
      <c r="B6" t="s">
        <v>126</v>
      </c>
      <c r="C6" t="s">
        <v>110</v>
      </c>
    </row>
    <row r="7" spans="1:3" x14ac:dyDescent="0.2">
      <c r="B7" s="13" t="s">
        <v>365</v>
      </c>
      <c r="C7" t="s">
        <v>28</v>
      </c>
    </row>
    <row r="8" spans="1:3" x14ac:dyDescent="0.2">
      <c r="B8" s="13" t="s">
        <v>385</v>
      </c>
    </row>
    <row r="9" spans="1:3" x14ac:dyDescent="0.2">
      <c r="B9" s="13" t="s">
        <v>155</v>
      </c>
    </row>
    <row r="10" spans="1:3" x14ac:dyDescent="0.2">
      <c r="B10" s="13" t="s">
        <v>156</v>
      </c>
    </row>
    <row r="11" spans="1:3" x14ac:dyDescent="0.2">
      <c r="B11" s="13" t="s">
        <v>366</v>
      </c>
    </row>
    <row r="12" spans="1:3" x14ac:dyDescent="0.2">
      <c r="B12" t="s">
        <v>94</v>
      </c>
    </row>
  </sheetData>
  <phoneticPr fontId="0" type="noConversion"/>
  <pageMargins left="0.78740157480314965" right="0.78740157480314965" top="0.98" bottom="0.51181102362204722" header="0.31496062992125984" footer="0.23622047244094491"/>
  <pageSetup paperSize="9" orientation="portrait" horizontalDpi="4294967292" r:id="rId1"/>
  <headerFooter alignWithMargins="0">
    <oddHeader>&amp;LCILAG AG
Chemie Operations
&amp;"Arial,Fett"&amp;14Titel&amp;RErstelldat. / UKL</oddHeader>
    <oddFooter>&amp;L&amp;8&amp;F / &amp;A&amp;C&amp;8Seite &amp;P von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Daten</vt:lpstr>
      <vt:lpstr>Anmeldeformular</vt:lpstr>
      <vt:lpstr>Auswahl</vt:lpstr>
      <vt:lpstr>Adressen</vt:lpstr>
      <vt:lpstr>Daten!Druckbereich</vt:lpstr>
      <vt:lpstr>Auswahl!Drucktitel</vt:lpstr>
      <vt:lpstr>Daten!Drucktitel</vt:lpstr>
      <vt:lpstr>Gruppenwettkampf</vt:lpstr>
      <vt:lpstr>Unterkunft</vt:lpstr>
      <vt:lpstr>Waffe</vt:lpstr>
    </vt:vector>
  </TitlesOfParts>
  <Company>CILAG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Cilag AG, Urs Klingenfuss</dc:creator>
  <cp:lastModifiedBy>Klingenfuss, Urs [CILCH]</cp:lastModifiedBy>
  <cp:lastPrinted>2023-09-23T08:45:03Z</cp:lastPrinted>
  <dcterms:created xsi:type="dcterms:W3CDTF">1999-07-28T12:24:05Z</dcterms:created>
  <dcterms:modified xsi:type="dcterms:W3CDTF">2023-10-22T17:16:26Z</dcterms:modified>
</cp:coreProperties>
</file>